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Procjena pokr. MI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<sst xmlns="http://schemas.openxmlformats.org/spreadsheetml/2006/main" count="1591" uniqueCount="592">
  <si>
    <t xml:space="preserve">R.br.</t>
  </si>
  <si>
    <t xml:space="preserve">Inv.</t>
  </si>
  <si>
    <t xml:space="preserve">God.</t>
  </si>
  <si>
    <t xml:space="preserve">Jedinična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</si>
  <si>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</si>
  <si>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</si>
  <si>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</si>
  <si>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</si>
  <si>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</si>
  <si>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</si>
  <si>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</si>
  <si>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NNV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</si>
  <si>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</si>
  <si>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</si>
  <si>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</si>
  <si>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</si>
  <si>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</si>
  <si>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F001</t>
  </si>
  <si>
    <t xml:space="preserve">NOTEBOOK</t>
  </si>
  <si>
    <r>
      <rPr>
        <sz val="10"/>
        <rFont val="Arial"/>
        <family val="2"/>
        <charset val="238"/>
      </rPr>
      <t xml:space="preserve">PORT REPLIKATOR </t>
    </r>
    <r>
      <rPr>
        <sz val="8"/>
        <rFont val="Arial"/>
        <family val="2"/>
        <charset val="238"/>
      </rPr>
      <t xml:space="preserve">za Notebook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</si>
  <si>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 ELITE CZC318698P</t>
    </r>
  </si>
  <si>
    <t xml:space="preserve">VJEŠALICA, stojeća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</si>
  <si>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KOREL - DUAL</t>
    </r>
  </si>
  <si>
    <t xml:space="preserve">F711</t>
  </si>
  <si>
    <r>
      <rPr>
        <sz val="10"/>
        <rFont val="Arial"/>
        <family val="2"/>
        <charset val="238"/>
      </rPr>
      <t xml:space="preserve">VAGONET, plato  </t>
    </r>
    <r>
      <rPr>
        <sz val="8"/>
        <rFont val="Arial"/>
        <family val="2"/>
        <charset val="238"/>
      </rPr>
      <t xml:space="preserve">(Novi MID + Stari DMP)</t>
    </r>
  </si>
  <si>
    <t xml:space="preserve">nep.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</si>
  <si>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HP, ELITE DISPLAY E231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</si>
  <si>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DAIKIN, FTX35JB1B</t>
    </r>
  </si>
  <si>
    <t xml:space="preserve">PC + MONITOR</t>
  </si>
  <si>
    <t xml:space="preserve">STOL, konferencijski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</si>
  <si>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1247/MR</t>
    </r>
  </si>
  <si>
    <r>
      <rPr>
        <sz val="10"/>
        <rFont val="Arial"/>
        <family val="2"/>
        <charset val="238"/>
      </rPr>
      <t xml:space="preserve">UNIŠTAVAČ dokumenata, </t>
    </r>
    <r>
      <rPr>
        <sz val="8"/>
        <rFont val="Arial"/>
        <family val="2"/>
        <charset val="238"/>
      </rPr>
      <t xml:space="preserve">TAROS, 25.10 SC</t>
    </r>
  </si>
  <si>
    <t xml:space="preserve">STOLICA, uredska</t>
  </si>
  <si>
    <t xml:space="preserve">PROJEKTOR BENQ MP 510</t>
  </si>
  <si>
    <t xml:space="preserve">PLATNO za projektor</t>
  </si>
  <si>
    <t xml:space="preserve">TELEFAX, Canon, L-160</t>
  </si>
  <si>
    <r>
      <rPr>
        <sz val="10"/>
        <rFont val="Arial"/>
        <family val="2"/>
        <charset val="238"/>
      </rPr>
      <t xml:space="preserve">MULTIFUN. UREĐAJ PRN, </t>
    </r>
    <r>
      <rPr>
        <sz val="8"/>
        <rFont val="Arial"/>
        <family val="2"/>
        <charset val="238"/>
      </rPr>
      <t xml:space="preserve">HP, LaserJet PRO MFP</t>
    </r>
  </si>
  <si>
    <r>
      <rPr>
        <sz val="10"/>
        <rFont val="Arial"/>
        <family val="2"/>
        <charset val="238"/>
      </rPr>
      <t xml:space="preserve">STOL, radni, s ladicama, </t>
    </r>
    <r>
      <rPr>
        <sz val="8"/>
        <rFont val="Arial"/>
        <family val="2"/>
        <charset val="238"/>
      </rPr>
      <t xml:space="preserve">MEC 216 D  (2x)</t>
    </r>
  </si>
  <si>
    <t xml:space="preserve">STOL, radni</t>
  </si>
  <si>
    <t xml:space="preserve">F190</t>
  </si>
  <si>
    <t xml:space="preserve">ULTRAZVUČNI MJERAČ-DM-2</t>
  </si>
  <si>
    <t xml:space="preserve">GARDEROBNI ORMAR</t>
  </si>
  <si>
    <t xml:space="preserve">ORMAR, drveni</t>
  </si>
  <si>
    <t xml:space="preserve">ULTRAZVUČNI UREĐAJ za kontrol. materijala US</t>
  </si>
  <si>
    <t xml:space="preserve">APARAT za ispitivanje magnetofluksom</t>
  </si>
  <si>
    <t xml:space="preserve">SURGRAFIC RECORDER</t>
  </si>
  <si>
    <r>
      <rPr>
        <sz val="10"/>
        <rFont val="Arial"/>
        <family val="2"/>
        <charset val="238"/>
      </rPr>
      <t xml:space="preserve">PARAMETAR, </t>
    </r>
    <r>
      <rPr>
        <sz val="8"/>
        <rFont val="Arial"/>
        <family val="2"/>
        <charset val="238"/>
      </rPr>
      <t xml:space="preserve">MODULE TAYLOR-HOBSON</t>
    </r>
  </si>
  <si>
    <r>
      <rPr>
        <sz val="10"/>
        <rFont val="Arial"/>
        <family val="2"/>
        <charset val="238"/>
      </rPr>
      <t xml:space="preserve">RIGHT ANGLE, </t>
    </r>
    <r>
      <rPr>
        <sz val="9"/>
        <rFont val="Arial"/>
        <family val="2"/>
        <charset val="238"/>
      </rPr>
      <t xml:space="preserve">PICK-UP 112/1505</t>
    </r>
  </si>
  <si>
    <r>
      <rPr>
        <sz val="10"/>
        <rFont val="Arial"/>
        <family val="2"/>
        <charset val="238"/>
      </rPr>
      <t xml:space="preserve">RECES, </t>
    </r>
    <r>
      <rPr>
        <sz val="9"/>
        <rFont val="Arial"/>
        <family val="2"/>
        <charset val="238"/>
      </rPr>
      <t xml:space="preserve">PICK-UP 1124/1506</t>
    </r>
  </si>
  <si>
    <t xml:space="preserve">PICK-UP WITH SIDE SKID 112/1531</t>
  </si>
  <si>
    <t xml:space="preserve">PICK-UP WITH SHOE 112/1599</t>
  </si>
  <si>
    <t xml:space="preserve">GLAVA za ispitivanje, MWM 45-N2</t>
  </si>
  <si>
    <t xml:space="preserve">GLAVA za ispitivanje, MWB 60-N2</t>
  </si>
  <si>
    <t xml:space="preserve">GLAVA za ispitivanje, MWB 70-N2</t>
  </si>
  <si>
    <t xml:space="preserve">GLAVA za ispitivanje, 60-N4</t>
  </si>
  <si>
    <t xml:space="preserve">ILUMINATOR ZA PREGLED RX FILMOVA</t>
  </si>
  <si>
    <t xml:space="preserve">ORMAR za kartoteku</t>
  </si>
  <si>
    <t xml:space="preserve">PISAĆI STOL</t>
  </si>
  <si>
    <t xml:space="preserve">STALAŽA, drvena, za arhivu</t>
  </si>
  <si>
    <t xml:space="preserve">STOL PISAĆI</t>
  </si>
  <si>
    <t xml:space="preserve">KLIMA UREĐAJ, Vaillant  PRO 035</t>
  </si>
  <si>
    <t xml:space="preserve">GARDEROBNI ORMAR, drveni</t>
  </si>
  <si>
    <t xml:space="preserve">STALAŽA s policama</t>
  </si>
  <si>
    <t xml:space="preserve">RUČNA SVJETILJKA ''MAG-LITE RX 4019</t>
  </si>
  <si>
    <t xml:space="preserve">UV-LAMPA, MR 42</t>
  </si>
  <si>
    <r>
      <rPr>
        <sz val="10"/>
        <rFont val="Arial"/>
        <family val="2"/>
        <charset val="238"/>
      </rPr>
      <t xml:space="preserve">ORMAR, limeni za kartone </t>
    </r>
    <r>
      <rPr>
        <sz val="8"/>
        <rFont val="Arial"/>
        <family val="2"/>
        <charset val="238"/>
      </rPr>
      <t xml:space="preserve">(stari Br.0931)</t>
    </r>
  </si>
  <si>
    <r>
      <rPr>
        <sz val="10"/>
        <rFont val="Arial"/>
        <family val="2"/>
        <charset val="238"/>
      </rPr>
      <t xml:space="preserve">ORMAR, drveni, 2-krilni </t>
    </r>
    <r>
      <rPr>
        <sz val="8"/>
        <rFont val="Arial"/>
        <family val="2"/>
        <charset val="238"/>
      </rPr>
      <t xml:space="preserve">(stari Br.1448)</t>
    </r>
  </si>
  <si>
    <t xml:space="preserve">ORMARIĆ, kuhinjski, veći</t>
  </si>
  <si>
    <t xml:space="preserve">ORMARIĆ, kuhinjski, podni</t>
  </si>
  <si>
    <t xml:space="preserve">VJEŠALICA, drvena, zidna, velika</t>
  </si>
  <si>
    <t xml:space="preserve">STALAŽA za registratore</t>
  </si>
  <si>
    <r>
      <rPr>
        <sz val="10"/>
        <rFont val="Arial"/>
        <family val="2"/>
        <charset val="238"/>
      </rPr>
      <t xml:space="preserve">DIGITALNA KAMERA, </t>
    </r>
    <r>
      <rPr>
        <sz val="8"/>
        <rFont val="Arial"/>
        <family val="2"/>
        <charset val="238"/>
      </rPr>
      <t xml:space="preserve">Olympus C 2040</t>
    </r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</si>
  <si>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2016</t>
    </r>
  </si>
  <si>
    <t xml:space="preserve">UV-LED LAMPA 365HS</t>
  </si>
  <si>
    <r>
      <rPr>
        <sz val="10"/>
        <rFont val="Arial"/>
        <family val="2"/>
        <charset val="238"/>
      </rPr>
      <t xml:space="preserve">ULTRAZVUČNA KUTNA SONDA, </t>
    </r>
    <r>
      <rPr>
        <sz val="8"/>
        <rFont val="Arial"/>
        <family val="2"/>
        <charset val="238"/>
      </rPr>
      <t xml:space="preserve">SWB 60-5</t>
    </r>
  </si>
  <si>
    <t xml:space="preserve">KONFERENCIJSKI STOL, uredski</t>
  </si>
  <si>
    <t xml:space="preserve">ORMAR, kutni</t>
  </si>
  <si>
    <t xml:space="preserve">PC + LCD monitor, SAMSUNG</t>
  </si>
  <si>
    <t xml:space="preserve">HLADNJAK, Gorenje</t>
  </si>
  <si>
    <r>
      <rPr>
        <sz val="10"/>
        <rFont val="Arial"/>
        <family val="2"/>
        <charset val="238"/>
      </rPr>
      <t xml:space="preserve">PC + MONITOR </t>
    </r>
    <r>
      <rPr>
        <sz val="8"/>
        <rFont val="Arial"/>
        <family val="2"/>
        <charset val="238"/>
      </rPr>
      <t xml:space="preserve">(2 kom.)</t>
    </r>
  </si>
  <si>
    <t xml:space="preserve">TERMO PEĆ</t>
  </si>
  <si>
    <t xml:space="preserve">KLIMA UREĐAJ, Vaillant</t>
  </si>
  <si>
    <t xml:space="preserve">PC + MONITOR, pr. LG</t>
  </si>
  <si>
    <t xml:space="preserve">PRINTER, HP DeskJet 940C</t>
  </si>
  <si>
    <t xml:space="preserve">BOJLER</t>
  </si>
  <si>
    <t xml:space="preserve">ORMAR, niski</t>
  </si>
  <si>
    <t xml:space="preserve">F220</t>
  </si>
  <si>
    <t xml:space="preserve">ORMARIĆ, kartotečni, limeni</t>
  </si>
  <si>
    <t xml:space="preserve">SUDOPER</t>
  </si>
  <si>
    <t xml:space="preserve">ORMAR za nacrte</t>
  </si>
  <si>
    <t xml:space="preserve">STOL PISAĆI  (3x)</t>
  </si>
  <si>
    <t xml:space="preserve">ORMAR sa policama</t>
  </si>
  <si>
    <t xml:space="preserve">STOL, konferencijski </t>
  </si>
  <si>
    <t xml:space="preserve">ORMAR za kartoteku, metalni</t>
  </si>
  <si>
    <t xml:space="preserve">ORMAR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</si>
  <si>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30H SET 3,5/3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</si>
  <si>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tip. EMS 20H SET 2,1/2,</t>
    </r>
  </si>
  <si>
    <r>
      <rPr>
        <sz val="10"/>
        <rFont val="Arial"/>
        <family val="2"/>
        <charset val="238"/>
      </rPr>
      <t xml:space="preserve">ČITAČ, mikrofilmova</t>
    </r>
    <r>
      <rPr>
        <sz val="8"/>
        <rFont val="Arial"/>
        <family val="2"/>
        <charset val="238"/>
      </rPr>
      <t xml:space="preserve">, mod. DL 52, pr. CARL ZEISS, Tb.290</t>
    </r>
  </si>
  <si>
    <t xml:space="preserve">ORMARI za nacrte</t>
  </si>
  <si>
    <t xml:space="preserve">ORMAR, sa šiber vratima, 3 police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</si>
  <si>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1247 W</t>
    </r>
  </si>
  <si>
    <t xml:space="preserve">ORMAR za dokumentaciju</t>
  </si>
  <si>
    <t xml:space="preserve">ORMARIĆ, za mikrofilm, manji</t>
  </si>
  <si>
    <t xml:space="preserve">ORMARIĆ, za mikrofilm, veći</t>
  </si>
  <si>
    <t xml:space="preserve">STOL za terminal</t>
  </si>
  <si>
    <r>
      <rPr>
        <sz val="10"/>
        <rFont val="Arial"/>
        <family val="2"/>
        <charset val="238"/>
      </rPr>
      <t xml:space="preserve">SISTEMSKI TELEFONSKI APARAT, </t>
    </r>
    <r>
      <rPr>
        <sz val="9"/>
        <rFont val="Arial"/>
        <family val="2"/>
        <charset val="238"/>
      </rPr>
      <t xml:space="preserve">KXT-7</t>
    </r>
  </si>
  <si>
    <r>
      <rPr>
        <sz val="10"/>
        <rFont val="Arial"/>
        <family val="2"/>
        <charset val="238"/>
      </rPr>
      <t xml:space="preserve">PANASONIC TELEFON. CENTRALA, </t>
    </r>
    <r>
      <rPr>
        <sz val="9"/>
        <rFont val="Arial"/>
        <family val="2"/>
        <charset val="238"/>
      </rPr>
      <t xml:space="preserve">KXTA 61</t>
    </r>
  </si>
  <si>
    <t xml:space="preserve">ORMAR, limeni</t>
  </si>
  <si>
    <t xml:space="preserve">PISAĆI STOL </t>
  </si>
  <si>
    <t xml:space="preserve">VJEŠALICA, metalna</t>
  </si>
  <si>
    <t xml:space="preserve">MONITOR 24'' ELITE DISP CNC 6070CNJ</t>
  </si>
  <si>
    <r>
      <rPr>
        <sz val="10"/>
        <rFont val="Arial"/>
        <family val="2"/>
        <charset val="238"/>
      </rPr>
      <t xml:space="preserve">PRINTER, </t>
    </r>
    <r>
      <rPr>
        <sz val="9"/>
        <rFont val="Arial"/>
        <family val="2"/>
        <charset val="238"/>
      </rPr>
      <t xml:space="preserve">HP, LaserJet 5000</t>
    </r>
  </si>
  <si>
    <t xml:space="preserve">METALNI ARHIVSKI ORMAR-10 ladica</t>
  </si>
  <si>
    <t xml:space="preserve">VJEŠALICA, metalna (stari Br.12100)</t>
  </si>
  <si>
    <t xml:space="preserve">RAČUNALO</t>
  </si>
  <si>
    <r>
      <rPr>
        <sz val="10"/>
        <rFont val="Arial"/>
        <family val="2"/>
        <charset val="238"/>
      </rPr>
      <t xml:space="preserve">RAČUNALO + MONITOR, </t>
    </r>
    <r>
      <rPr>
        <sz val="8"/>
        <rFont val="Arial"/>
        <family val="2"/>
        <charset val="238"/>
      </rPr>
      <t xml:space="preserve">LG, FLETRON W2243S-PF</t>
    </r>
  </si>
  <si>
    <t xml:space="preserve">FOTOKOPIRNI UREĐAJ, Canon, IR 3300</t>
  </si>
  <si>
    <t xml:space="preserve">UREĐAJ za kopiranje, OCE TDS450 - kpl.</t>
  </si>
  <si>
    <t xml:space="preserve">F301</t>
  </si>
  <si>
    <t xml:space="preserve">ORMAR, drveni, 2-krilni</t>
  </si>
  <si>
    <t xml:space="preserve">ORMAR, kancelarijski</t>
  </si>
  <si>
    <t xml:space="preserve">STOL, radni sa ladičarem, 160x162 cm</t>
  </si>
  <si>
    <t xml:space="preserve">Mini deskop DELL WYSE P25</t>
  </si>
  <si>
    <t xml:space="preserve">ORMARIĆ sa ladicama</t>
  </si>
  <si>
    <t xml:space="preserve">ORMAR sa policama, 2-krilni</t>
  </si>
  <si>
    <t xml:space="preserve">OVALNI STOL, uredski</t>
  </si>
  <si>
    <t xml:space="preserve">ORMAR za registratore</t>
  </si>
  <si>
    <t xml:space="preserve">OSOBNO RAČUNALO</t>
  </si>
  <si>
    <t xml:space="preserve">MONITOR</t>
  </si>
  <si>
    <t xml:space="preserve">KUHINJSKI ELEMENTI</t>
  </si>
  <si>
    <t xml:space="preserve">HLADNJAK, Lader</t>
  </si>
  <si>
    <t xml:space="preserve">EL. ŠTEDNJAK sa sudoperom</t>
  </si>
  <si>
    <t xml:space="preserve">KUHINJSKI ORMAR</t>
  </si>
  <si>
    <t xml:space="preserve">F401</t>
  </si>
  <si>
    <t xml:space="preserve">PISAĆI STOL-veći</t>
  </si>
  <si>
    <t xml:space="preserve">ORMAR sa ladicama</t>
  </si>
  <si>
    <t xml:space="preserve">ORMARIĆ sa šiber vratima</t>
  </si>
  <si>
    <r>
      <rPr>
        <sz val="10"/>
        <rFont val="Arial"/>
        <family val="2"/>
        <charset val="238"/>
      </rPr>
      <t xml:space="preserve">FOTOKOPIRNI UREĐAJ, </t>
    </r>
    <r>
      <rPr>
        <sz val="9"/>
        <rFont val="Arial"/>
        <family val="2"/>
        <charset val="238"/>
      </rPr>
      <t xml:space="preserve">Canon, IR 2018</t>
    </r>
  </si>
  <si>
    <t xml:space="preserve">ORMAR, drveni, visoki, 2-krilni</t>
  </si>
  <si>
    <t xml:space="preserve">ORMAR-PLAKAR, 4-krilni</t>
  </si>
  <si>
    <t xml:space="preserve">ORMAR KOMBINIRANI sa šiber vratima</t>
  </si>
  <si>
    <t xml:space="preserve">PRINTER, LEXMARK E120</t>
  </si>
  <si>
    <t xml:space="preserve">MONITOR ACER G225HQV</t>
  </si>
  <si>
    <t xml:space="preserve">MONITOR LG FLATRON L1718S</t>
  </si>
  <si>
    <t xml:space="preserve">KLIMA UREĐAJ, RODSTAR</t>
  </si>
  <si>
    <t xml:space="preserve">MONITOR LG FLATRON W1934S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</si>
  <si>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RODSTAR ACR 900 W</t>
    </r>
  </si>
  <si>
    <r>
      <rPr>
        <sz val="10"/>
        <rFont val="Arial"/>
        <family val="2"/>
        <charset val="238"/>
      </rPr>
      <t xml:space="preserve">MONITOR, </t>
    </r>
    <r>
      <rPr>
        <sz val="9"/>
        <rFont val="Arial"/>
        <family val="2"/>
        <charset val="238"/>
      </rPr>
      <t xml:space="preserve">SAMSUNG SYNC MASTER 720N</t>
    </r>
  </si>
  <si>
    <t xml:space="preserve">ORMAR s rolo vratima</t>
  </si>
  <si>
    <t xml:space="preserve">F710</t>
  </si>
  <si>
    <r>
      <rPr>
        <sz val="10"/>
        <rFont val="Arial"/>
        <family val="2"/>
        <charset val="238"/>
      </rPr>
      <t xml:space="preserve">STOL-L, uredski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</si>
  <si>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ORMAR, uredski, kombinirani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</si>
  <si>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ORMARIĆ, uredski sa policama, 2-krilni </t>
    </r>
    <r>
      <rPr>
        <sz val="8"/>
        <rFont val="Arial"/>
        <family val="2"/>
        <charset val="238"/>
      </rPr>
      <t xml:space="preserve">(novi)</t>
    </r>
  </si>
  <si>
    <r>
      <rPr>
        <sz val="10"/>
        <rFont val="Arial"/>
        <family val="2"/>
        <charset val="238"/>
      </rPr>
      <t xml:space="preserve">ORMARIĆ, uredski, sa ladicama </t>
    </r>
    <r>
      <rPr>
        <sz val="8"/>
        <rFont val="Arial"/>
        <family val="2"/>
        <charset val="238"/>
      </rPr>
      <t xml:space="preserve">(novi)</t>
    </r>
  </si>
  <si>
    <t xml:space="preserve">STALAŽA za dokumentaciju</t>
  </si>
  <si>
    <t xml:space="preserve">UREĐAJ za punjenje baterija, 84591</t>
  </si>
  <si>
    <t xml:space="preserve">ISPRAVLJAČ za punjenje akumulatora</t>
  </si>
  <si>
    <t xml:space="preserve">ORMAR ROLO, sa dodatkom</t>
  </si>
  <si>
    <r>
      <rPr>
        <sz val="10"/>
        <rFont val="Arial"/>
        <family val="2"/>
        <charset val="238"/>
      </rPr>
      <t xml:space="preserve">HORIZ. TRAČNA PILA</t>
    </r>
    <r>
      <rPr>
        <sz val="8"/>
        <rFont val="Arial"/>
        <family val="2"/>
        <charset val="238"/>
      </rPr>
      <t xml:space="preserve">, tip. SELECT-O-MAT-320, pr. PM</t>
    </r>
  </si>
  <si>
    <r>
      <rPr>
        <sz val="10"/>
        <rFont val="Arial"/>
        <family val="2"/>
        <charset val="238"/>
      </rPr>
      <t xml:space="preserve">TRAČNA PILA, </t>
    </r>
    <r>
      <rPr>
        <sz val="8"/>
        <rFont val="Arial"/>
        <family val="2"/>
        <charset val="238"/>
      </rPr>
      <t xml:space="preserve">pr. JAESPA, tip. W 400 AZ/P, Tbr. 97</t>
    </r>
  </si>
  <si>
    <t xml:space="preserve">rashod</t>
  </si>
  <si>
    <t xml:space="preserve">STALAŽA SA ROLOM za dokumentaciju</t>
  </si>
  <si>
    <t xml:space="preserve">ORMAR SA ROLOM za dokumentaciju</t>
  </si>
  <si>
    <t xml:space="preserve">STOL za sastanke</t>
  </si>
  <si>
    <t xml:space="preserve">ORMAR, drveni, 3-krilni</t>
  </si>
  <si>
    <r>
      <rPr>
        <sz val="10"/>
        <rFont val="Arial"/>
        <family val="2"/>
        <charset val="238"/>
      </rPr>
      <t xml:space="preserve">KLIMA UREĐAJ, </t>
    </r>
    <r>
      <rPr>
        <sz val="9"/>
        <rFont val="Arial"/>
        <family val="2"/>
        <charset val="238"/>
      </rPr>
      <t xml:space="preserve">Vaillant PRO 035</t>
    </r>
  </si>
  <si>
    <t xml:space="preserve">PISAĆI STOL  veći</t>
  </si>
  <si>
    <t xml:space="preserve">ORMAR sa šiber vratima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</si>
  <si>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50 Mp/16m, Br.</t>
    </r>
    <r>
      <rPr>
        <b val="true"/>
        <sz val="9"/>
        <rFont val="Arial"/>
        <family val="2"/>
        <charset val="238"/>
      </rPr>
      <t xml:space="preserve">92</t>
    </r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</si>
  <si>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310</t>
    </r>
    <r>
      <rPr>
        <sz val="8"/>
        <rFont val="Arial"/>
        <family val="2"/>
        <charset val="238"/>
      </rPr>
      <t xml:space="preserve">, Tb.60665</t>
    </r>
  </si>
  <si>
    <r>
      <rPr>
        <sz val="10"/>
        <rFont val="Arial"/>
        <family val="2"/>
        <charset val="238"/>
      </rPr>
      <t xml:space="preserve">VILIČAR, motorni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V30 DSX 3,2, pr. INDOS</t>
    </r>
  </si>
  <si>
    <t xml:space="preserve">VJEŠALICA, metalna za robu</t>
  </si>
  <si>
    <t xml:space="preserve">STALAŽA, drvena za dokumentaciju</t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</si>
  <si>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LG, FLATRON W1934S</t>
    </r>
  </si>
  <si>
    <t xml:space="preserve">PRINTER, OKI B4350</t>
  </si>
  <si>
    <t xml:space="preserve">PRINTER, HP CN54PJ505B</t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</si>
  <si>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HP, LaserJet 510 Otn</t>
    </r>
  </si>
  <si>
    <r>
      <rPr>
        <sz val="10"/>
        <rFont val="Arial"/>
        <family val="2"/>
        <charset val="238"/>
      </rPr>
      <t xml:space="preserve">PC </t>
    </r>
    <r>
      <rPr>
        <sz val="8"/>
        <rFont val="Arial"/>
        <family val="2"/>
        <charset val="238"/>
      </rPr>
      <t xml:space="preserve">(2x)</t>
    </r>
    <r>
      <rPr>
        <sz val="10"/>
        <rFont val="Arial"/>
        <family val="2"/>
        <charset val="238"/>
      </rPr>
      <t xml:space="preserve"> + MONITOR </t>
    </r>
    <r>
      <rPr>
        <sz val="8"/>
        <rFont val="Arial"/>
        <family val="2"/>
        <charset val="238"/>
      </rPr>
      <t xml:space="preserve">(1x)</t>
    </r>
  </si>
  <si>
    <t xml:space="preserve">F712</t>
  </si>
  <si>
    <r>
      <rPr>
        <sz val="10"/>
        <rFont val="Arial"/>
        <family val="2"/>
        <charset val="238"/>
      </rPr>
      <t xml:space="preserve">ORMAR na šinama, </t>
    </r>
    <r>
      <rPr>
        <sz val="8"/>
        <rFont val="Arial"/>
        <family val="2"/>
        <charset val="238"/>
      </rPr>
      <t xml:space="preserve">pr. Primat</t>
    </r>
  </si>
  <si>
    <t xml:space="preserve">ORMARIĆ, limeni, kartotečni</t>
  </si>
  <si>
    <t xml:space="preserve">ORMAR, limeni za kartoteku</t>
  </si>
  <si>
    <t xml:space="preserve">STOL za pisaći stroj</t>
  </si>
  <si>
    <t xml:space="preserve">ORMAR, metalni za kartoteku</t>
  </si>
  <si>
    <t xml:space="preserve">KLIMA UREĐAJ, ROADSTAR ACR 1247 W</t>
  </si>
  <si>
    <t xml:space="preserve">PISAĆI STOL TS 1633 HN EXTRA</t>
  </si>
  <si>
    <t xml:space="preserve">ORMAR TS 2100 HN EXTRA</t>
  </si>
  <si>
    <t xml:space="preserve">ORMAR, arhivski, metalni, 10 ladica</t>
  </si>
  <si>
    <r>
      <rPr>
        <sz val="10"/>
        <rFont val="Arial"/>
        <family val="2"/>
        <charset val="238"/>
      </rPr>
      <t xml:space="preserve">PRIJENOSNO RAČUNALO, </t>
    </r>
    <r>
      <rPr>
        <sz val="8"/>
        <rFont val="Arial"/>
        <family val="2"/>
        <charset val="238"/>
      </rPr>
      <t xml:space="preserve">HP, COMPAQ NX</t>
    </r>
  </si>
  <si>
    <r>
      <rPr>
        <sz val="10"/>
        <rFont val="Arial"/>
        <family val="2"/>
        <charset val="238"/>
      </rPr>
      <t xml:space="preserve">MONITOR, </t>
    </r>
    <r>
      <rPr>
        <sz val="8"/>
        <rFont val="Arial"/>
        <family val="2"/>
        <charset val="238"/>
      </rPr>
      <t xml:space="preserve">DELL E Series E2417H</t>
    </r>
  </si>
  <si>
    <t xml:space="preserve">STOL-L, uredski</t>
  </si>
  <si>
    <t xml:space="preserve">ORMAR, uredski, 4-krilni</t>
  </si>
  <si>
    <t xml:space="preserve">PRINTER, OKI B840</t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</si>
  <si>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L1718S-SN</t>
    </r>
  </si>
  <si>
    <r>
      <rPr>
        <sz val="10"/>
        <rFont val="Arial"/>
        <family val="2"/>
        <charset val="238"/>
      </rPr>
      <t xml:space="preserve">PC + MONITOR, </t>
    </r>
    <r>
      <rPr>
        <sz val="8"/>
        <rFont val="Arial"/>
        <family val="2"/>
        <charset val="238"/>
      </rPr>
      <t xml:space="preserve">LG, FLATRON W2240S-PN</t>
    </r>
  </si>
  <si>
    <t xml:space="preserve">HLADNJAK (manji)</t>
  </si>
  <si>
    <t xml:space="preserve">RADIJATOR, uljni</t>
  </si>
  <si>
    <t xml:space="preserve">STOL, uredski za 3 osobe</t>
  </si>
  <si>
    <t xml:space="preserve">ORMAR, sa policama, ostakljen, 2-krilni</t>
  </si>
  <si>
    <t xml:space="preserve">ORMARIĆ, uredski, sa ladicama</t>
  </si>
  <si>
    <t xml:space="preserve">STOLIĆ, radni</t>
  </si>
  <si>
    <t xml:space="preserve">STOL, uredski</t>
  </si>
  <si>
    <t xml:space="preserve">GARDEROBNI ORMAR, 2-krilni</t>
  </si>
  <si>
    <t xml:space="preserve">ORMAR za dokumentaciju, 4-krilni</t>
  </si>
  <si>
    <t xml:space="preserve">VJEŠALICA, drvena</t>
  </si>
  <si>
    <t xml:space="preserve">STALAŽA za papir</t>
  </si>
  <si>
    <t xml:space="preserve">F740</t>
  </si>
  <si>
    <t xml:space="preserve">PLOČA ZA CENTR. FREZ. GLAVA, kpl.</t>
  </si>
  <si>
    <t xml:space="preserve">PARAL. CRTALO TESA D AN 6 70-2000</t>
  </si>
  <si>
    <t xml:space="preserve">OPTIČKI PROJEKT. HELGA F. MARA</t>
  </si>
  <si>
    <t xml:space="preserve">ELEKTRO BRUSILICA</t>
  </si>
  <si>
    <t xml:space="preserve">BRUSILICA za završnu obradu</t>
  </si>
  <si>
    <t xml:space="preserve">UNIVERZALNA BRUSILICA</t>
  </si>
  <si>
    <t xml:space="preserve">BRUSILICA za oštrenje kružnih pila</t>
  </si>
  <si>
    <r>
      <rPr>
        <sz val="10"/>
        <rFont val="Arial"/>
        <family val="2"/>
        <charset val="238"/>
      </rPr>
      <t xml:space="preserve">AUTOMATSKA BRUSILICA, </t>
    </r>
    <r>
      <rPr>
        <sz val="9"/>
        <rFont val="Arial"/>
        <family val="2"/>
        <charset val="238"/>
      </rPr>
      <t xml:space="preserve">za glodala, pr. Walter</t>
    </r>
  </si>
  <si>
    <t xml:space="preserve">BRUSILICA za kružne pile</t>
  </si>
  <si>
    <t xml:space="preserve">OŠTRILICA za alat</t>
  </si>
  <si>
    <t xml:space="preserve">BRUSILICA za ravno brušenje</t>
  </si>
  <si>
    <t xml:space="preserve">BRUS za oštrenje alata</t>
  </si>
  <si>
    <t xml:space="preserve">LETVA ZA TUŠIR. MOSNOG OBLIKA</t>
  </si>
  <si>
    <t xml:space="preserve">LETVA ZA TUŠ. PRIZMAT. 45ST 750 mm</t>
  </si>
  <si>
    <t xml:space="preserve">LETVA ZA TUŠIR. PRIZMAT.</t>
  </si>
  <si>
    <t xml:space="preserve">UNIVERZALNA OŠTRILICA</t>
  </si>
  <si>
    <t xml:space="preserve">BRUSILICA, električna</t>
  </si>
  <si>
    <t xml:space="preserve">STRUJNA KLIJEŠTA HT 75</t>
  </si>
  <si>
    <t xml:space="preserve">FLUKE  87V/E2 - komplet</t>
  </si>
  <si>
    <t xml:space="preserve">ELEKTRIČNA  BUŠILICA - ČEKIĆ  KHE 3</t>
  </si>
  <si>
    <t xml:space="preserve">AKU BUŠILICA BOSH 14,4VE - 2</t>
  </si>
  <si>
    <t xml:space="preserve">CRPKA, ručna, hdraulična, RHP 2/50 + </t>
  </si>
  <si>
    <t xml:space="preserve">BUŠILICA  BOSCH 14,4  VE-2</t>
  </si>
  <si>
    <r>
      <rPr>
        <sz val="10"/>
        <rFont val="Arial"/>
        <family val="2"/>
        <charset val="238"/>
      </rPr>
      <t xml:space="preserve">BRUSILICA </t>
    </r>
    <r>
      <rPr>
        <sz val="9"/>
        <rFont val="Arial"/>
        <family val="2"/>
        <charset val="238"/>
      </rPr>
      <t xml:space="preserve">za vanj. i unut. bruš., </t>
    </r>
    <r>
      <rPr>
        <sz val="8"/>
        <rFont val="Arial"/>
        <family val="2"/>
        <charset val="238"/>
      </rPr>
      <t xml:space="preserve">tip. UFB–300a, pr. LŽT</t>
    </r>
  </si>
  <si>
    <r>
      <rPr>
        <sz val="10"/>
        <rFont val="Arial"/>
        <family val="2"/>
        <charset val="238"/>
      </rPr>
      <t xml:space="preserve">KONZOLNA GLODALICA, vertik.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GVK–2P, pr. PM</t>
    </r>
  </si>
  <si>
    <r>
      <rPr>
        <sz val="10"/>
        <rFont val="Arial"/>
        <family val="2"/>
        <charset val="238"/>
      </rPr>
      <t xml:space="preserve">BRUSILICA </t>
    </r>
    <r>
      <rPr>
        <sz val="9"/>
        <rFont val="Arial"/>
        <family val="2"/>
        <charset val="238"/>
      </rPr>
      <t xml:space="preserve">za unutarnje bruš.,</t>
    </r>
    <r>
      <rPr>
        <sz val="8"/>
        <rFont val="Arial"/>
        <family val="2"/>
        <charset val="238"/>
      </rPr>
      <t xml:space="preserve"> tip. Univerzal, pr. LŽT</t>
    </r>
  </si>
  <si>
    <t xml:space="preserve">STEZAČ LMS 6161 HR 25, kbr.8434161</t>
  </si>
  <si>
    <t xml:space="preserve">BRUSILICA, LSF 28 S 250, kbr.842312</t>
  </si>
  <si>
    <t xml:space="preserve">MEHANIČKI ŠKRIPAC SG, tip. 705 vel. 6</t>
  </si>
  <si>
    <t xml:space="preserve">KLIJEŠTA STEZNA (za stroj Oerlikon)</t>
  </si>
  <si>
    <t xml:space="preserve">TRAČNA PILA za metal, Tbr.110316</t>
  </si>
  <si>
    <r>
      <rPr>
        <sz val="10"/>
        <rFont val="Arial"/>
        <family val="2"/>
        <charset val="238"/>
      </rPr>
      <t xml:space="preserve">BRUSILICA ALATA , </t>
    </r>
    <r>
      <rPr>
        <sz val="8"/>
        <rFont val="Arial"/>
        <family val="2"/>
        <charset val="238"/>
      </rPr>
      <t xml:space="preserve">tip. BAD 400, Tbr.102</t>
    </r>
  </si>
  <si>
    <t xml:space="preserve">UREĐAJ za provjeru akumulatora, AA 5</t>
  </si>
  <si>
    <t xml:space="preserve">OŠTRILICA, univerzalna, pr. PM, Tbr.117</t>
  </si>
  <si>
    <t xml:space="preserve">BRUSILICA 2-strane, COMET, Tbr.3355/8</t>
  </si>
  <si>
    <t xml:space="preserve">AUTOMAT za zavarivanje, LCH-575, Tbr.3</t>
  </si>
  <si>
    <t xml:space="preserve">CRPKA za hlađenje, tip. 5650</t>
  </si>
  <si>
    <t xml:space="preserve">POKRETNI EROZIMAT-EROMOBIL</t>
  </si>
  <si>
    <t xml:space="preserve">BRUSILICA</t>
  </si>
  <si>
    <t xml:space="preserve">BRUSILICA, pneumatska, TX 250 RG 4 MC</t>
  </si>
  <si>
    <t xml:space="preserve">BRUSILICA, pneumatska, TD 250 RG 4 MC</t>
  </si>
  <si>
    <t xml:space="preserve">KLIMA UREĐAJ, ROADSTAR ACR 947 W</t>
  </si>
  <si>
    <t xml:space="preserve">APARAT za zavarivanje, VARIN 1700 </t>
  </si>
  <si>
    <r>
      <rPr>
        <sz val="10"/>
        <rFont val="Arial"/>
        <family val="2"/>
        <charset val="238"/>
      </rPr>
      <t xml:space="preserve">CNC-BRUSILICA  4-osna</t>
    </r>
    <r>
      <rPr>
        <sz val="9"/>
        <rFont val="Arial"/>
        <family val="2"/>
        <charset val="238"/>
      </rPr>
      <t xml:space="preserve">, tip. CNC-UWII, pr. Saacke</t>
    </r>
  </si>
  <si>
    <t xml:space="preserve">BRUSILICA, LSF 18 S430-1</t>
  </si>
  <si>
    <t xml:space="preserve">BRUSILICA, LSF 28 S180 E k.br. 84231</t>
  </si>
  <si>
    <t xml:space="preserve">BRUSILICA, LSV 28 ST12-12, k.br. 8423</t>
  </si>
  <si>
    <t xml:space="preserve">BRUSILICA, LSO30 H070-3</t>
  </si>
  <si>
    <t xml:space="preserve">DIZALICA, pokretna, nos. 0,5 kN, Br.126</t>
  </si>
  <si>
    <t xml:space="preserve">DIZALICA, lančana, pneumatska, SPITZNAS</t>
  </si>
  <si>
    <t xml:space="preserve">DIZALICA elektro, MINOR 500/5</t>
  </si>
  <si>
    <t xml:space="preserve">DIZALICA, prenosna, hidraulična, 6100</t>
  </si>
  <si>
    <t xml:space="preserve">DIZALICA elektro, MINOR 250 kg</t>
  </si>
  <si>
    <t xml:space="preserve">DIZALICA elektro, MINOR 500 kg</t>
  </si>
  <si>
    <t xml:space="preserve">APARAT za ispitivanje tvrdoće</t>
  </si>
  <si>
    <t xml:space="preserve">MINIWASH LAVOR MISSOURI  LK X 4 </t>
  </si>
  <si>
    <t xml:space="preserve">LJESTVE, aluminijske, 3x17  11,3 m</t>
  </si>
  <si>
    <r>
      <rPr>
        <sz val="10"/>
        <rFont val="Arial"/>
        <family val="2"/>
        <charset val="238"/>
      </rPr>
      <t xml:space="preserve">ISPRAVLJAČ AUTOMATIKE, </t>
    </r>
    <r>
      <rPr>
        <sz val="8"/>
        <rFont val="Arial"/>
        <family val="2"/>
        <charset val="238"/>
      </rPr>
      <t xml:space="preserve">12/24 V HF 40</t>
    </r>
  </si>
  <si>
    <t xml:space="preserve">STALAK za alat, DALIT</t>
  </si>
  <si>
    <t xml:space="preserve">NOSAČ KUTIJA za alat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</si>
  <si>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 IR 2010</t>
    </r>
  </si>
  <si>
    <t xml:space="preserve">BUŠILICA sa magnetskim postoljem</t>
  </si>
  <si>
    <t xml:space="preserve">DIZALICA LANČANA, polužna, mod. YALE</t>
  </si>
  <si>
    <t xml:space="preserve">ODVIJAČ, udarni, akumulatorski, BERNER</t>
  </si>
  <si>
    <t xml:space="preserve">BRUSILICA, akumulatorska, BERNER</t>
  </si>
  <si>
    <t xml:space="preserve">GLODAĆA GLAVA</t>
  </si>
  <si>
    <r>
      <rPr>
        <sz val="10"/>
        <rFont val="Arial"/>
        <family val="2"/>
        <charset val="238"/>
      </rPr>
      <t xml:space="preserve">UREĐAJ za prednamj. alata, </t>
    </r>
    <r>
      <rPr>
        <sz val="8"/>
        <rFont val="Arial"/>
        <family val="2"/>
        <charset val="238"/>
      </rPr>
      <t xml:space="preserve">tip. Venturion 800, pr. Zoller</t>
    </r>
  </si>
  <si>
    <t xml:space="preserve">UREĐAJ za prednamj. alata, ILR</t>
  </si>
  <si>
    <t xml:space="preserve">BRUSILICA, 2-strani</t>
  </si>
  <si>
    <t xml:space="preserve">OKRETNI STOL, kontrolni</t>
  </si>
  <si>
    <t xml:space="preserve">ISPRAVLJAČ automatike, do 60V</t>
  </si>
  <si>
    <t xml:space="preserve">BUŠILICA udarna, pr. Makita</t>
  </si>
  <si>
    <t xml:space="preserve">PEĆ za kaljenje</t>
  </si>
  <si>
    <t xml:space="preserve">DINAMOMETAR, do 1.000 kg</t>
  </si>
  <si>
    <t xml:space="preserve">LANČANA DIZALICA (parank), nos. 0,5T</t>
  </si>
  <si>
    <t xml:space="preserve">LANČANA DIZALICA (parank), nos. 1T</t>
  </si>
  <si>
    <t xml:space="preserve">LANČANA DIZALICA (parank), nos. 2T</t>
  </si>
  <si>
    <t xml:space="preserve">DIZALICA, prenosna, hidraulična, nos. 50T</t>
  </si>
  <si>
    <t xml:space="preserve">DIZALICA, prenosna, hidraulična, nos. 60T</t>
  </si>
  <si>
    <r>
      <rPr>
        <sz val="10"/>
        <rFont val="Arial"/>
        <family val="2"/>
        <charset val="238"/>
      </rPr>
      <t xml:space="preserve">BRUSILICA, kutna, električna, </t>
    </r>
    <r>
      <rPr>
        <sz val="8"/>
        <rFont val="Arial"/>
        <family val="2"/>
        <charset val="238"/>
      </rPr>
      <t xml:space="preserve">pr. Makita</t>
    </r>
  </si>
  <si>
    <t xml:space="preserve">BRUSILICA, BIAX, precizna, električna</t>
  </si>
  <si>
    <t xml:space="preserve">F750</t>
  </si>
  <si>
    <t xml:space="preserve">STOL, pisaći sa ladicama</t>
  </si>
  <si>
    <t xml:space="preserve">GENERATOR učestalosti (stari Br.0173)</t>
  </si>
  <si>
    <t xml:space="preserve">BRUSILICA, 1-strana</t>
  </si>
  <si>
    <t xml:space="preserve">AKSIJALNI VENTILATOR</t>
  </si>
  <si>
    <t xml:space="preserve">ORMAR SIGURNOSNI SO 1</t>
  </si>
  <si>
    <t xml:space="preserve">CENTRIFUGALNI VENTILATOR</t>
  </si>
  <si>
    <r>
      <rPr>
        <sz val="10"/>
        <rFont val="Arial"/>
        <family val="2"/>
        <charset val="238"/>
      </rPr>
      <t xml:space="preserve">AUTOMAT za elektro zavarivanje</t>
    </r>
    <r>
      <rPr>
        <sz val="9"/>
        <rFont val="Arial"/>
        <family val="2"/>
        <charset val="238"/>
      </rPr>
      <t xml:space="preserve">, pr. ARMCO</t>
    </r>
  </si>
  <si>
    <t xml:space="preserve">GARDEROBNI ORMAR, limeni, 2-krilni</t>
  </si>
  <si>
    <t xml:space="preserve">GARDEROBNI ORMAR, limeni, 3-krilni</t>
  </si>
  <si>
    <t xml:space="preserve">TIROLIT PILA</t>
  </si>
  <si>
    <r>
      <rPr>
        <sz val="10"/>
        <rFont val="Arial"/>
        <family val="2"/>
        <charset val="238"/>
      </rPr>
      <t xml:space="preserve">POZICIONER</t>
    </r>
    <r>
      <rPr>
        <sz val="8"/>
        <rFont val="Arial"/>
        <family val="2"/>
        <charset val="238"/>
      </rPr>
      <t xml:space="preserve">, tip. POH  35</t>
    </r>
  </si>
  <si>
    <r>
      <rPr>
        <sz val="10"/>
        <rFont val="Arial"/>
        <family val="2"/>
        <charset val="238"/>
      </rPr>
      <t xml:space="preserve">OKRETALJKA, tip. ONVH 50 </t>
    </r>
    <r>
      <rPr>
        <sz val="8"/>
        <rFont val="Arial"/>
        <family val="2"/>
        <charset val="238"/>
      </rPr>
      <t xml:space="preserve">(u najmu u Sloveniji)</t>
    </r>
  </si>
  <si>
    <t xml:space="preserve">VITRINA, 2-dijelna</t>
  </si>
  <si>
    <t xml:space="preserve">POMOĆNI STOL</t>
  </si>
  <si>
    <t xml:space="preserve">DAKTILO STOL, drveni</t>
  </si>
  <si>
    <t xml:space="preserve">ORMARIĆ, viseći, 2-krilni</t>
  </si>
  <si>
    <t xml:space="preserve">VITRINA za dokumentaciju</t>
  </si>
  <si>
    <t xml:space="preserve">VISOKOTLAČNA OTISNA VENTILACIJA</t>
  </si>
  <si>
    <t xml:space="preserve">UREĐAJ ZA ZAGRIJ. I VENTIL. ZAVARI</t>
  </si>
  <si>
    <t xml:space="preserve">OKRETALJKA OBIČNA</t>
  </si>
  <si>
    <t xml:space="preserve">TERMO RADIJATOR</t>
  </si>
  <si>
    <t xml:space="preserve">USISAČ INDUSTRIJSKI, pokretni, G73</t>
  </si>
  <si>
    <t xml:space="preserve">KONFERENCIJSKI STOL</t>
  </si>
  <si>
    <t xml:space="preserve">PISAĆI STOL sa ladicama</t>
  </si>
  <si>
    <t xml:space="preserve">DAKTILO-STOL, drveni</t>
  </si>
  <si>
    <t xml:space="preserve">ORMARIĆ, drveni, 2-krilni</t>
  </si>
  <si>
    <t xml:space="preserve">STALAŽA, 3-dijelna</t>
  </si>
  <si>
    <t xml:space="preserve">STALAŽA, 4-dijelna</t>
  </si>
  <si>
    <t xml:space="preserve">STALAŽA sa ugrađenim ormarima</t>
  </si>
  <si>
    <t xml:space="preserve">ORMARIĆ, viseći</t>
  </si>
  <si>
    <t xml:space="preserve">VITRINA za trofeje</t>
  </si>
  <si>
    <r>
      <rPr>
        <sz val="10"/>
        <rFont val="Arial"/>
        <family val="2"/>
        <charset val="238"/>
      </rPr>
      <t xml:space="preserve">KOORDIN. REZAČ metala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opt.vođ., OVM 5-300, Varstroj</t>
    </r>
  </si>
  <si>
    <t xml:space="preserve">STROJ ZA UVALJIVANJE CIJEVI</t>
  </si>
  <si>
    <t xml:space="preserve">GILJOTINSKE ŠKARE</t>
  </si>
  <si>
    <t xml:space="preserve">ORMARIĆ, 2-krilni</t>
  </si>
  <si>
    <t xml:space="preserve">ORMARIĆ, viseći, 1-krilni</t>
  </si>
  <si>
    <t xml:space="preserve">ORMARIĆ, viseći, 3-krilni</t>
  </si>
  <si>
    <t xml:space="preserve">ORMARIĆ, kartotečni, drveni</t>
  </si>
  <si>
    <t xml:space="preserve">ORMAR, drveni, 1-krilni</t>
  </si>
  <si>
    <t xml:space="preserve">ORMAR, drveni, niski, 3-krilni</t>
  </si>
  <si>
    <t xml:space="preserve">ORMAR željezni, 2-krilni</t>
  </si>
  <si>
    <t xml:space="preserve">ORMAR, drveni, 5-krilni</t>
  </si>
  <si>
    <t xml:space="preserve">STALAŽA, 2-djelna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</si>
  <si>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RB 70, pr. Pobeda-Imo</t>
    </r>
  </si>
  <si>
    <t xml:space="preserve">RADIJATOR, električni</t>
  </si>
  <si>
    <r>
      <rPr>
        <sz val="10"/>
        <rFont val="Arial"/>
        <family val="2"/>
        <charset val="238"/>
      </rPr>
      <t xml:space="preserve">ČISTAČ, </t>
    </r>
    <r>
      <rPr>
        <sz val="8"/>
        <rFont val="Arial"/>
        <family val="2"/>
        <charset val="238"/>
      </rPr>
      <t xml:space="preserve">RVM06B/FILTER REGULATOR, INDI</t>
    </r>
  </si>
  <si>
    <r>
      <rPr>
        <sz val="10"/>
        <rFont val="Arial"/>
        <family val="2"/>
        <charset val="238"/>
      </rPr>
      <t xml:space="preserve">UREĐAJ za dodavanje žice, </t>
    </r>
    <r>
      <rPr>
        <sz val="8"/>
        <rFont val="Arial"/>
        <family val="2"/>
        <charset val="238"/>
      </rPr>
      <t xml:space="preserve">MEH 44B 04</t>
    </r>
  </si>
  <si>
    <r>
      <rPr>
        <sz val="10"/>
        <rFont val="Arial"/>
        <family val="2"/>
        <charset val="238"/>
      </rPr>
      <t xml:space="preserve">RUČNI POLUAUT. UREĐ. za plin. rez. </t>
    </r>
    <r>
      <rPr>
        <sz val="8"/>
        <rFont val="Arial"/>
        <family val="2"/>
        <charset val="238"/>
      </rPr>
      <t xml:space="preserve">QUIC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</si>
  <si>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 zavariv., LAW 520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</si>
  <si>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sa V/A-METROM</t>
    </r>
  </si>
  <si>
    <r>
      <rPr>
        <sz val="10"/>
        <rFont val="Arial"/>
        <family val="2"/>
        <charset val="238"/>
      </rPr>
      <t xml:space="preserve">POLUAUTOMAT, </t>
    </r>
    <r>
      <rPr>
        <sz val="8"/>
        <rFont val="Arial"/>
        <family val="2"/>
        <charset val="238"/>
      </rPr>
      <t xml:space="preserve">MIG-MAG-LAW 520 W-400/50 Hz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</si>
  <si>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 S V/A - METAR</t>
    </r>
  </si>
  <si>
    <r>
      <rPr>
        <sz val="10"/>
        <rFont val="Arial"/>
        <family val="2"/>
        <charset val="238"/>
      </rPr>
      <t xml:space="preserve">BRUSILICA, kutna, </t>
    </r>
    <r>
      <rPr>
        <sz val="8"/>
        <rFont val="Arial"/>
        <family val="2"/>
        <charset val="238"/>
      </rPr>
      <t xml:space="preserve">LSS 64 SO 85-18</t>
    </r>
  </si>
  <si>
    <r>
      <rPr>
        <sz val="10"/>
        <rFont val="Arial"/>
        <family val="2"/>
        <charset val="238"/>
      </rPr>
      <t xml:space="preserve">BRUSILICA, kutna, </t>
    </r>
    <r>
      <rPr>
        <sz val="8"/>
        <rFont val="Arial"/>
        <family val="2"/>
        <charset val="238"/>
      </rPr>
      <t xml:space="preserve">LSV 50 SO 85-18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</si>
  <si>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</t>
    </r>
  </si>
  <si>
    <r>
      <rPr>
        <sz val="10"/>
        <rFont val="Arial"/>
        <family val="2"/>
        <charset val="238"/>
      </rPr>
      <t xml:space="preserve">GLODALICA, </t>
    </r>
    <r>
      <rPr>
        <sz val="8"/>
        <rFont val="Arial"/>
        <family val="2"/>
        <charset val="238"/>
      </rPr>
      <t xml:space="preserve">LSF 27 S 250 E</t>
    </r>
  </si>
  <si>
    <r>
      <rPr>
        <sz val="10"/>
        <rFont val="Arial"/>
        <family val="2"/>
        <charset val="238"/>
      </rPr>
      <t xml:space="preserve">PIŠTOLJ za skidanje šljake, </t>
    </r>
    <r>
      <rPr>
        <sz val="8"/>
        <rFont val="Arial"/>
        <family val="2"/>
        <charset val="238"/>
      </rPr>
      <t xml:space="preserve">RRC 13B</t>
    </r>
  </si>
  <si>
    <t xml:space="preserve">PISAĆI STOL s ladicama</t>
  </si>
  <si>
    <t xml:space="preserve">ORMAR za ključeve</t>
  </si>
  <si>
    <t xml:space="preserve">ORMAR za zaštitna sredstva</t>
  </si>
  <si>
    <r>
      <rPr>
        <sz val="10"/>
        <rFont val="Arial"/>
        <family val="2"/>
        <charset val="238"/>
      </rPr>
      <t xml:space="preserve">TRAKTOR za zavar. u zaštiti praška, </t>
    </r>
    <r>
      <rPr>
        <sz val="8"/>
        <rFont val="Arial"/>
        <family val="2"/>
        <charset val="238"/>
      </rPr>
      <t xml:space="preserve">A6/LAF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</si>
  <si>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MEK 4WBR.0469962883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</si>
  <si>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500 TW</t>
    </r>
  </si>
  <si>
    <r>
      <rPr>
        <sz val="10"/>
        <rFont val="Arial"/>
        <family val="2"/>
        <charset val="238"/>
      </rPr>
      <t xml:space="preserve">STROJ za zavarivanje </t>
    </r>
    <r>
      <rPr>
        <sz val="8"/>
        <rFont val="Arial"/>
        <family val="2"/>
        <charset val="238"/>
      </rPr>
      <t xml:space="preserve">ESAB, MIG 505W/30</t>
    </r>
  </si>
  <si>
    <t xml:space="preserve">BRUSILICA, GTG21 F085-18</t>
  </si>
  <si>
    <t xml:space="preserve">ORMARIĆ, drveni, 2-krila, niski</t>
  </si>
  <si>
    <r>
      <rPr>
        <sz val="10"/>
        <rFont val="Arial"/>
        <family val="2"/>
        <charset val="238"/>
      </rPr>
      <t xml:space="preserve">APARAT za autogeno razanje, </t>
    </r>
    <r>
      <rPr>
        <sz val="8"/>
        <rFont val="Arial"/>
        <family val="2"/>
        <charset val="238"/>
      </rPr>
      <t xml:space="preserve">QUICKY E</t>
    </r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</si>
  <si>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ROADSTAR ACR 947 W</t>
    </r>
  </si>
  <si>
    <r>
      <rPr>
        <sz val="10"/>
        <rFont val="Arial"/>
        <family val="2"/>
        <charset val="238"/>
      </rPr>
      <t xml:space="preserve">POLUAUTOMAT za autogeno rezanje, </t>
    </r>
    <r>
      <rPr>
        <sz val="8"/>
        <rFont val="Arial"/>
        <family val="2"/>
        <charset val="238"/>
      </rPr>
      <t xml:space="preserve">QUICKY E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</si>
  <si>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 M13</t>
    </r>
  </si>
  <si>
    <r>
      <rPr>
        <sz val="10"/>
        <rFont val="Arial"/>
        <family val="2"/>
        <charset val="238"/>
      </rPr>
      <t xml:space="preserve">APARAT za rezanje, </t>
    </r>
    <r>
      <rPr>
        <sz val="8"/>
        <rFont val="Arial"/>
        <family val="2"/>
        <charset val="238"/>
      </rPr>
      <t xml:space="preserve">QUICKY  E  220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</si>
  <si>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ORIGOYARDFEED 200</t>
    </r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</si>
  <si>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MINIPORT 4D TB 080904</t>
    </r>
  </si>
  <si>
    <t xml:space="preserve">UREĐAJ za MIG/MAG, REL zavarivanje</t>
  </si>
  <si>
    <r>
      <rPr>
        <sz val="10"/>
        <rFont val="Arial"/>
        <family val="2"/>
        <charset val="238"/>
      </rPr>
      <t xml:space="preserve">DODAVAČ žice, </t>
    </r>
    <r>
      <rPr>
        <sz val="8"/>
        <rFont val="Arial"/>
        <family val="2"/>
        <charset val="238"/>
      </rPr>
      <t xml:space="preserve">ORIGOFEED 304W M13 VIA</t>
    </r>
  </si>
  <si>
    <t xml:space="preserve">ORMAR sa stalažom i policama</t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</si>
  <si>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ST12-12, k.br, 8423</t>
    </r>
  </si>
  <si>
    <r>
      <rPr>
        <sz val="10"/>
        <rFont val="Arial"/>
        <family val="2"/>
        <charset val="238"/>
      </rPr>
      <t xml:space="preserve">BRUSILICA, </t>
    </r>
    <r>
      <rPr>
        <sz val="8"/>
        <rFont val="Arial"/>
        <family val="2"/>
        <charset val="238"/>
      </rPr>
      <t xml:space="preserve">LSV 28 S060-18, k.br. 8423</t>
    </r>
  </si>
  <si>
    <t xml:space="preserve">PEĆ za sušenje elektroda, F6</t>
  </si>
  <si>
    <r>
      <rPr>
        <sz val="10"/>
        <rFont val="Arial"/>
        <family val="2"/>
        <charset val="238"/>
      </rPr>
      <t xml:space="preserve">GRABLJE, L-1300 mm </t>
    </r>
    <r>
      <rPr>
        <sz val="8"/>
        <rFont val="Arial"/>
        <family val="2"/>
        <charset val="238"/>
      </rPr>
      <t xml:space="preserve">(veza zavarivanje)</t>
    </r>
  </si>
  <si>
    <t xml:space="preserve">GRABLJE S PRIKLJ. L-2100 mm (veza zavar.)</t>
  </si>
  <si>
    <r>
      <rPr>
        <sz val="10"/>
        <rFont val="Arial"/>
        <family val="2"/>
        <charset val="238"/>
      </rPr>
      <t xml:space="preserve">KLIMA UREĐAJ, </t>
    </r>
    <r>
      <rPr>
        <sz val="8"/>
        <rFont val="Arial"/>
        <family val="2"/>
        <charset val="238"/>
      </rPr>
      <t xml:space="preserve">LADER, MSM12 HRN</t>
    </r>
  </si>
  <si>
    <r>
      <rPr>
        <sz val="10"/>
        <rFont val="Arial"/>
        <family val="2"/>
        <charset val="238"/>
      </rPr>
      <t xml:space="preserve">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58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</si>
  <si>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DMD 30/5 Mp/15m, Br.</t>
    </r>
    <r>
      <rPr>
        <b val="true"/>
        <sz val="9"/>
        <rFont val="Arial"/>
        <family val="2"/>
        <charset val="238"/>
      </rPr>
      <t xml:space="preserve">62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</si>
  <si>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30/5 Mp/15m, Br.</t>
    </r>
    <r>
      <rPr>
        <b val="true"/>
        <sz val="9"/>
        <rFont val="Arial"/>
        <family val="2"/>
        <charset val="238"/>
      </rPr>
      <t xml:space="preserve">61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</si>
  <si>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20/5 Mp/15m, Br.</t>
    </r>
    <r>
      <rPr>
        <b val="true"/>
        <sz val="9"/>
        <rFont val="Arial"/>
        <family val="2"/>
        <charset val="238"/>
      </rPr>
      <t xml:space="preserve">63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</si>
  <si>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140 kN /15m, Br.</t>
    </r>
    <r>
      <rPr>
        <b val="true"/>
        <sz val="9"/>
        <rFont val="Arial"/>
        <family val="2"/>
        <charset val="238"/>
      </rPr>
      <t xml:space="preserve">64</t>
    </r>
  </si>
  <si>
    <r>
      <rPr>
        <sz val="10"/>
        <rFont val="Arial"/>
        <family val="2"/>
        <charset val="238"/>
      </rPr>
      <t xml:space="preserve">KONZOLA DIZALICE,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129</t>
    </r>
  </si>
  <si>
    <r>
      <rPr>
        <sz val="10"/>
        <rFont val="Arial"/>
        <family val="2"/>
        <charset val="238"/>
      </rPr>
      <t xml:space="preserve">KONZOLA DIZALICE,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127</t>
    </r>
  </si>
  <si>
    <t xml:space="preserve">ELEKTRIČNO DIZALO ''VEDA''</t>
  </si>
  <si>
    <t xml:space="preserve">KASA, metalna, lagana</t>
  </si>
  <si>
    <t xml:space="preserve">NOSAČ PALETA TKG-017</t>
  </si>
  <si>
    <r>
      <rPr>
        <sz val="10"/>
        <rFont val="Arial"/>
        <family val="2"/>
        <charset val="238"/>
      </rPr>
      <t xml:space="preserve">DVOG.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DMDm 14 Mp, mag, Br.</t>
    </r>
    <r>
      <rPr>
        <b val="true"/>
        <sz val="9"/>
        <rFont val="Arial"/>
        <family val="2"/>
        <charset val="238"/>
      </rPr>
      <t xml:space="preserve">305</t>
    </r>
  </si>
  <si>
    <t xml:space="preserve">KONZOLA PNEUMATSKE DIZALICE</t>
  </si>
  <si>
    <r>
      <rPr>
        <sz val="10"/>
        <rFont val="Arial"/>
        <family val="2"/>
        <charset val="238"/>
      </rPr>
      <t xml:space="preserve">FOTOKOPIRNI UREĐAJ, </t>
    </r>
    <r>
      <rPr>
        <sz val="8"/>
        <rFont val="Arial"/>
        <family val="2"/>
        <charset val="238"/>
      </rPr>
      <t xml:space="preserve">Canon, IR 2018</t>
    </r>
  </si>
  <si>
    <t xml:space="preserve">STOL, pisaći</t>
  </si>
  <si>
    <t xml:space="preserve">STOL, obični</t>
  </si>
  <si>
    <t xml:space="preserve">ORMAR, limeni za kartone</t>
  </si>
  <si>
    <t xml:space="preserve">ORMAR, viseći</t>
  </si>
  <si>
    <t xml:space="preserve">ORMAR, limeni, 2-krilni</t>
  </si>
  <si>
    <t xml:space="preserve">BRUSILICA, zračna</t>
  </si>
  <si>
    <r>
      <rPr>
        <sz val="10"/>
        <rFont val="Arial"/>
        <family val="2"/>
        <charset val="238"/>
      </rPr>
      <t xml:space="preserve">BRUSILICA, kutna, električna </t>
    </r>
    <r>
      <rPr>
        <sz val="8"/>
        <rFont val="Arial"/>
        <family val="2"/>
        <charset val="238"/>
      </rPr>
      <t xml:space="preserve">Ø115, Bosch</t>
    </r>
  </si>
  <si>
    <r>
      <rPr>
        <sz val="10"/>
        <rFont val="Arial"/>
        <family val="2"/>
        <charset val="238"/>
      </rPr>
      <t xml:space="preserve">NAREZNICE, </t>
    </r>
    <r>
      <rPr>
        <sz val="9"/>
        <rFont val="Arial"/>
        <family val="2"/>
        <charset val="238"/>
      </rPr>
      <t xml:space="preserve">od M5</t>
    </r>
    <r>
      <rPr>
        <sz val="9"/>
        <rFont val="Calibri"/>
        <family val="2"/>
        <charset val="238"/>
      </rPr>
      <t xml:space="preserve">÷</t>
    </r>
    <r>
      <rPr>
        <sz val="9"/>
        <rFont val="Arial"/>
        <family val="2"/>
        <charset val="238"/>
      </rPr>
      <t xml:space="preserve">M24</t>
    </r>
  </si>
  <si>
    <r>
      <rPr>
        <sz val="10"/>
        <rFont val="Arial"/>
        <family val="2"/>
        <charset val="238"/>
      </rPr>
      <t xml:space="preserve">SVRDLA, kratka, cilindrična, </t>
    </r>
    <r>
      <rPr>
        <sz val="10"/>
        <rFont val="Calibri"/>
        <family val="2"/>
        <charset val="238"/>
      </rPr>
      <t xml:space="preserve">Ø</t>
    </r>
    <r>
      <rPr>
        <sz val="10"/>
        <rFont val="Arial"/>
        <family val="2"/>
        <charset val="238"/>
      </rPr>
      <t xml:space="preserve"> 1,5 </t>
    </r>
    <r>
      <rPr>
        <sz val="10"/>
        <rFont val="Calibri"/>
        <family val="2"/>
        <charset val="238"/>
      </rPr>
      <t xml:space="preserve">÷</t>
    </r>
    <r>
      <rPr>
        <sz val="10"/>
        <rFont val="Arial"/>
        <family val="2"/>
        <charset val="238"/>
      </rPr>
      <t xml:space="preserve"> 10 mm</t>
    </r>
  </si>
  <si>
    <r>
      <rPr>
        <sz val="10"/>
        <rFont val="Arial"/>
        <family val="2"/>
        <charset val="238"/>
      </rPr>
      <t xml:space="preserve">SVRDLA, konusna, </t>
    </r>
    <r>
      <rPr>
        <sz val="10"/>
        <rFont val="Calibri"/>
        <family val="2"/>
        <charset val="238"/>
      </rPr>
      <t xml:space="preserve">Ø</t>
    </r>
    <r>
      <rPr>
        <sz val="10"/>
        <rFont val="Arial"/>
        <family val="2"/>
        <charset val="238"/>
      </rPr>
      <t xml:space="preserve"> 10 </t>
    </r>
    <r>
      <rPr>
        <sz val="10"/>
        <rFont val="Calibri"/>
        <family val="2"/>
        <charset val="238"/>
      </rPr>
      <t xml:space="preserve">÷</t>
    </r>
    <r>
      <rPr>
        <sz val="10"/>
        <rFont val="Arial"/>
        <family val="2"/>
        <charset val="238"/>
      </rPr>
      <t xml:space="preserve"> 50 mm</t>
    </r>
  </si>
  <si>
    <t xml:space="preserve">PLINSKI PLAMENICI I REZAČI</t>
  </si>
  <si>
    <t xml:space="preserve">STEZAČI, bravarski (štrukovi) L-500 ; L-1000</t>
  </si>
  <si>
    <t xml:space="preserve">F760</t>
  </si>
  <si>
    <r>
      <rPr>
        <sz val="10"/>
        <rFont val="Arial"/>
        <family val="2"/>
        <charset val="238"/>
      </rPr>
      <t xml:space="preserve">GLAVE GLODAĆE sa izmj. ploč. </t>
    </r>
    <r>
      <rPr>
        <sz val="8"/>
        <rFont val="Arial"/>
        <family val="2"/>
        <charset val="238"/>
      </rPr>
      <t xml:space="preserve">VIPER-PE</t>
    </r>
  </si>
  <si>
    <t xml:space="preserve">GLAVE GLODAĆE sa izmjenjenim pločicama</t>
  </si>
  <si>
    <t xml:space="preserve">ST. GLAVA s 4 čeljusti, samopodesive</t>
  </si>
  <si>
    <t xml:space="preserve">OKRETNI ŠILJAK II STEP. TOČNOSTI</t>
  </si>
  <si>
    <r>
      <rPr>
        <sz val="10"/>
        <rFont val="Arial"/>
        <family val="2"/>
        <charset val="238"/>
      </rPr>
      <t xml:space="preserve">UREĐAJ za obradu kugli, </t>
    </r>
    <r>
      <rPr>
        <sz val="8"/>
        <rFont val="Arial"/>
        <family val="2"/>
        <charset val="238"/>
      </rPr>
      <t xml:space="preserve">KDG 1300 0-8</t>
    </r>
  </si>
  <si>
    <r>
      <rPr>
        <sz val="10"/>
        <rFont val="Arial"/>
        <family val="2"/>
        <charset val="238"/>
      </rPr>
      <t xml:space="preserve">UREĐAJ za obradu kugli, </t>
    </r>
    <r>
      <rPr>
        <sz val="8"/>
        <rFont val="Arial"/>
        <family val="2"/>
        <charset val="238"/>
      </rPr>
      <t xml:space="preserve">KDG.1300 50</t>
    </r>
  </si>
  <si>
    <t xml:space="preserve">CRPKA za tlačenje cjevovoda</t>
  </si>
  <si>
    <r>
      <rPr>
        <sz val="10"/>
        <rFont val="Arial"/>
        <family val="2"/>
        <charset val="238"/>
      </rPr>
      <t xml:space="preserve">PNEUMATSKI STEZAČ MATICA, </t>
    </r>
    <r>
      <rPr>
        <sz val="8"/>
        <rFont val="Arial"/>
        <family val="2"/>
        <charset val="238"/>
      </rPr>
      <t xml:space="preserve">SIZE 588</t>
    </r>
  </si>
  <si>
    <t xml:space="preserve">GONIOMETAR UNIVERZAL. RAFET</t>
  </si>
  <si>
    <r>
      <rPr>
        <sz val="10"/>
        <rFont val="Arial"/>
        <family val="2"/>
        <charset val="238"/>
      </rPr>
      <t xml:space="preserve">KOMPR. AGREGAT, elek., </t>
    </r>
    <r>
      <rPr>
        <sz val="8"/>
        <rFont val="Arial"/>
        <family val="2"/>
        <charset val="238"/>
      </rPr>
      <t xml:space="preserve">pr. HATLAPA, Tb.042</t>
    </r>
  </si>
  <si>
    <t xml:space="preserve">KOMPRESOR  QA61792  W 140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</si>
  <si>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pr. TOS</t>
    </r>
  </si>
  <si>
    <t xml:space="preserve">OKRETNI ŠILJAK</t>
  </si>
  <si>
    <t xml:space="preserve">MJERNI LINEAR. GRAV. DIN866/II</t>
  </si>
  <si>
    <t xml:space="preserve">PLOČA za tuširanje, 1000x1000</t>
  </si>
  <si>
    <t xml:space="preserve">PLOČA za tuširanje, 1600x1000</t>
  </si>
  <si>
    <r>
      <rPr>
        <sz val="10"/>
        <rFont val="Arial"/>
        <family val="2"/>
        <charset val="238"/>
      </rPr>
      <t xml:space="preserve">STROJ za uvaljivanje navoja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IV, pr. PEE–WEE</t>
    </r>
  </si>
  <si>
    <r>
      <rPr>
        <sz val="10"/>
        <rFont val="Arial"/>
        <family val="2"/>
        <charset val="238"/>
      </rPr>
      <t xml:space="preserve">UNIVERZALNA BRUSILICA </t>
    </r>
    <r>
      <rPr>
        <sz val="8"/>
        <rFont val="Arial"/>
        <family val="2"/>
        <charset val="238"/>
      </rPr>
      <t xml:space="preserve">za vanj. bruš.,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BUA 31, TOS</t>
    </r>
  </si>
  <si>
    <t xml:space="preserve">CRPKA, centrifugalna</t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</si>
  <si>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WD 250, pr. Škoda</t>
    </r>
  </si>
  <si>
    <r>
      <rPr>
        <sz val="10"/>
        <rFont val="Arial"/>
        <family val="2"/>
        <charset val="238"/>
      </rPr>
      <t xml:space="preserve">KARUSEL TOKARILICA, </t>
    </r>
    <r>
      <rPr>
        <sz val="9"/>
        <rFont val="Arial"/>
        <family val="2"/>
        <charset val="238"/>
      </rPr>
      <t xml:space="preserve">2-stupna, </t>
    </r>
    <r>
      <rPr>
        <sz val="8"/>
        <rFont val="Arial"/>
        <family val="2"/>
        <charset val="238"/>
      </rPr>
      <t xml:space="preserve">tip. 16KZ300, pr. Froriep</t>
    </r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</si>
  <si>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100 LCC, pr. Hettner</t>
    </r>
  </si>
  <si>
    <t xml:space="preserve">CRPKA, za rashladnu vodu cilindra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</si>
  <si>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FBT 190/320, pr. Froriep</t>
    </r>
  </si>
  <si>
    <t xml:space="preserve">CRPKA za ulje, vertikalna</t>
  </si>
  <si>
    <t xml:space="preserve">CRPKA za naftu</t>
  </si>
  <si>
    <t xml:space="preserve">BOSTER CRPKA za prebacivanje goriva</t>
  </si>
  <si>
    <t xml:space="preserve">MAGNETSKI FILTER ULJA</t>
  </si>
  <si>
    <t xml:space="preserve">TRANSFER CRPKA za prebacivanje ulja</t>
  </si>
  <si>
    <t xml:space="preserve">VISOKOTLAČNI SPREMNIK za zrak</t>
  </si>
  <si>
    <r>
      <rPr>
        <sz val="10"/>
        <rFont val="Arial"/>
        <family val="2"/>
        <charset val="238"/>
      </rPr>
      <t xml:space="preserve">DINAMOMETAR, hidraulični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FA16 Special, FROUDE</t>
    </r>
  </si>
  <si>
    <t xml:space="preserve">BRUSILICA sa 2 PL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</si>
  <si>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VR 10, pr. MAS</t>
    </r>
  </si>
  <si>
    <t xml:space="preserve">BRUSILICA, 2-strana</t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</si>
  <si>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 16, pr. TOS</t>
    </r>
  </si>
  <si>
    <t xml:space="preserve">UNIVERZ. RAZDJ. APARAT. - DIVIZOR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</si>
  <si>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BFT 125/5,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</si>
  <si>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WH 80, pr. TOS</t>
    </r>
  </si>
  <si>
    <r>
      <rPr>
        <sz val="10"/>
        <rFont val="Arial"/>
        <family val="2"/>
        <charset val="238"/>
      </rPr>
      <t xml:space="preserve">UNIVERZALNA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FA 5V, pr. TOS</t>
    </r>
  </si>
  <si>
    <t xml:space="preserve">BRUSILICA, elektro</t>
  </si>
  <si>
    <r>
      <rPr>
        <sz val="10"/>
        <rFont val="Arial"/>
        <family val="2"/>
        <charset val="238"/>
      </rPr>
      <t xml:space="preserve">PRENOSNI STOL za vrtaljku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TI 1, pr. Union Germany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</si>
  <si>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51-68001/B, pr. Csepel</t>
    </r>
  </si>
  <si>
    <r>
      <rPr>
        <sz val="10"/>
        <rFont val="Arial"/>
        <family val="2"/>
        <charset val="238"/>
      </rPr>
      <t xml:space="preserve">RADIJALNA BUŠILICA</t>
    </r>
    <r>
      <rPr>
        <sz val="8"/>
        <rFont val="Arial"/>
        <family val="2"/>
        <charset val="238"/>
      </rPr>
      <t xml:space="preserve">, tip. RFM 51-68001/A, pr. Csepel</t>
    </r>
  </si>
  <si>
    <r>
      <rPr>
        <sz val="10"/>
        <rFont val="Arial"/>
        <family val="2"/>
        <charset val="238"/>
      </rPr>
      <t xml:space="preserve">VERTIKALNA DUBILICA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 500, pr. Ravensburg</t>
    </r>
  </si>
  <si>
    <t xml:space="preserve">ISPRAVLJAČ za elektro-lučno zavarivanje</t>
  </si>
  <si>
    <r>
      <rPr>
        <sz val="10"/>
        <rFont val="Arial"/>
        <family val="2"/>
        <charset val="238"/>
      </rPr>
      <t xml:space="preserve">TOKARSKI STROJ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1A-64, pr. RCZ  (2x)</t>
    </r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</si>
  <si>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 16, pr. TOS  (2x)</t>
    </r>
  </si>
  <si>
    <t xml:space="preserve">ODVALNA GLODALICA za zupčanike</t>
  </si>
  <si>
    <r>
      <rPr>
        <sz val="10"/>
        <rFont val="Arial"/>
        <family val="2"/>
        <charset val="238"/>
      </rPr>
      <t xml:space="preserve">PORTALNA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PF-H 150/1E, pr. W.Siegel</t>
    </r>
  </si>
  <si>
    <r>
      <rPr>
        <sz val="10"/>
        <rFont val="Arial"/>
        <family val="2"/>
        <charset val="238"/>
      </rPr>
      <t xml:space="preserve">KOORDINAT.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KC 4, pr. Oerlikon</t>
    </r>
  </si>
  <si>
    <t xml:space="preserve">CRPKA, tankovne nafte</t>
  </si>
  <si>
    <t xml:space="preserve">CRPKA, morske vode</t>
  </si>
  <si>
    <t xml:space="preserve">SPREMNIK za gorivo</t>
  </si>
  <si>
    <t xml:space="preserve">ISPUŠNI LONAC</t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</si>
  <si>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BFP 160/1, pr. Union</t>
    </r>
  </si>
  <si>
    <r>
      <rPr>
        <sz val="10"/>
        <rFont val="Arial"/>
        <family val="2"/>
        <charset val="238"/>
      </rPr>
      <t xml:space="preserve">HORIZONT.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BFT 125/5, pr. Union</t>
    </r>
  </si>
  <si>
    <t xml:space="preserve">UREĐAJ za skladištenje, MEGAMAX</t>
  </si>
  <si>
    <t xml:space="preserve">TERMOHIGROMETAR sa ugrađenom sondom</t>
  </si>
  <si>
    <t xml:space="preserve">ORMAR SIGURNOSNI SO 2</t>
  </si>
  <si>
    <r>
      <rPr>
        <sz val="10"/>
        <rFont val="Arial"/>
        <family val="2"/>
        <charset val="238"/>
      </rPr>
      <t xml:space="preserve">HORIZONT. TOKARILICA, </t>
    </r>
    <r>
      <rPr>
        <sz val="8"/>
        <rFont val="Arial"/>
        <family val="2"/>
        <charset val="238"/>
      </rPr>
      <t xml:space="preserve">WSDB 1600/20x5.000-1, W.S.</t>
    </r>
  </si>
  <si>
    <r>
      <rPr>
        <sz val="10"/>
        <rFont val="Arial"/>
        <family val="2"/>
        <charset val="238"/>
      </rPr>
      <t xml:space="preserve">ODVALNA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ZFWZ, pr. Modul</t>
    </r>
  </si>
  <si>
    <r>
      <rPr>
        <sz val="10"/>
        <rFont val="Arial"/>
        <family val="2"/>
        <charset val="238"/>
      </rPr>
      <t xml:space="preserve">PORTALNA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FP-26, pr. TOS</t>
    </r>
  </si>
  <si>
    <t xml:space="preserve">STROJARNICA ISPITNE STANICE</t>
  </si>
  <si>
    <t xml:space="preserve">TRANSFER CRPKA</t>
  </si>
  <si>
    <r>
      <rPr>
        <sz val="10"/>
        <rFont val="Arial"/>
        <family val="2"/>
        <charset val="238"/>
      </rPr>
      <t xml:space="preserve">ISPRAVLJAČ za elektro zavarivanje, </t>
    </r>
    <r>
      <rPr>
        <sz val="9"/>
        <rFont val="Arial"/>
        <family val="2"/>
        <charset val="238"/>
      </rPr>
      <t xml:space="preserve">Tb.74155</t>
    </r>
  </si>
  <si>
    <t xml:space="preserve">TRAČNA PILA</t>
  </si>
  <si>
    <r>
      <rPr>
        <sz val="10"/>
        <rFont val="Arial"/>
        <family val="2"/>
        <charset val="238"/>
      </rPr>
      <t xml:space="preserve">HORIZONTALNA BUŠILICA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W9/W100.2, Elektopristr.</t>
    </r>
  </si>
  <si>
    <t xml:space="preserve">STROJ za fino brušenje (super finiš), kpl.</t>
  </si>
  <si>
    <t xml:space="preserve">CRPKA za rashladnu vodu klipova</t>
  </si>
  <si>
    <t xml:space="preserve">UREĐAJ za sušenje elektroda, Tbr.4342</t>
  </si>
  <si>
    <t xml:space="preserve">OKRETNO ZAKRETNI STOL, Tbr.11-74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</si>
  <si>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tip. VR 6A, pr. Kovosvit</t>
    </r>
  </si>
  <si>
    <r>
      <rPr>
        <sz val="10"/>
        <rFont val="Arial"/>
        <family val="2"/>
        <charset val="238"/>
      </rPr>
      <t xml:space="preserve">DINAMOMETAR, hidraulični</t>
    </r>
    <r>
      <rPr>
        <sz val="8"/>
        <rFont val="Arial"/>
        <family val="2"/>
        <charset val="238"/>
      </rPr>
      <t xml:space="preserve">, tip. LS-245, pr. Froude</t>
    </r>
  </si>
  <si>
    <r>
      <rPr>
        <sz val="10"/>
        <rFont val="Arial"/>
        <family val="2"/>
        <charset val="238"/>
      </rPr>
      <t xml:space="preserve">KONZOL. GLODALICA, vert.</t>
    </r>
    <r>
      <rPr>
        <sz val="8"/>
        <rFont val="Arial"/>
        <family val="2"/>
        <charset val="238"/>
      </rPr>
      <t xml:space="preserve"> tip. GKA-3V, pr. PM</t>
    </r>
  </si>
  <si>
    <t xml:space="preserve">APARAT za nanošenje boje</t>
  </si>
  <si>
    <t xml:space="preserve">RASHLADNIK za vodu cilindra</t>
  </si>
  <si>
    <t xml:space="preserve">RASHLADNIK vode za klipove</t>
  </si>
  <si>
    <t xml:space="preserve">RASHLADNIK ulja</t>
  </si>
  <si>
    <t xml:space="preserve">VAKUM UREĐAJ CRPKE morske vode</t>
  </si>
  <si>
    <t xml:space="preserve">STROJ za savijanje cijevi, Tbr.55-99-0002</t>
  </si>
  <si>
    <t xml:space="preserve">ISPRAVLJAČ za zavarivanje, RK.TB-179</t>
  </si>
  <si>
    <t xml:space="preserve">STROJ za navlačenje užadi na dizalicu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</si>
  <si>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univerzal-prenosna</t>
    </r>
    <r>
      <rPr>
        <sz val="8"/>
        <rFont val="Arial"/>
        <family val="2"/>
        <charset val="238"/>
      </rPr>
      <t xml:space="preserve">, tip. VRM 50, pr. MAS</t>
    </r>
  </si>
  <si>
    <t xml:space="preserve">PREŠA, hidromotorna, HNP-700/GD2-TB-</t>
  </si>
  <si>
    <t xml:space="preserve">BRUSILICA, 2-strana, Prvomjaska, 2137</t>
  </si>
  <si>
    <t xml:space="preserve">STOL, radni, pneumatski za izradu, FLEX CI</t>
  </si>
  <si>
    <t xml:space="preserve">AGREGAT CRPKE, PASK-45-4NM-B5</t>
  </si>
  <si>
    <r>
      <rPr>
        <sz val="10"/>
        <rFont val="Arial"/>
        <family val="2"/>
        <charset val="238"/>
      </rPr>
      <t xml:space="preserve">VERTIKALNA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FCV 63 SCA–19, pr. TOS</t>
    </r>
  </si>
  <si>
    <t xml:space="preserve">AUTOMATSKI FILTER, mazivog ulja</t>
  </si>
  <si>
    <r>
      <rPr>
        <sz val="10"/>
        <rFont val="Arial"/>
        <family val="2"/>
        <charset val="238"/>
      </rPr>
      <t xml:space="preserve">STROJ za valjanje profila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UPWSZ 63–1, pr. WEB</t>
    </r>
  </si>
  <si>
    <r>
      <rPr>
        <sz val="10"/>
        <rFont val="Arial"/>
        <family val="2"/>
        <charset val="238"/>
      </rPr>
      <t xml:space="preserve">CNC-TOKARILICA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NDM 40–250, pr. Georg Fischer</t>
    </r>
  </si>
  <si>
    <r>
      <rPr>
        <sz val="10"/>
        <rFont val="Arial"/>
        <family val="2"/>
        <charset val="238"/>
      </rPr>
      <t xml:space="preserve">KONZOLNA GLODALICA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FGSV 50/63-19, pr. TOS</t>
    </r>
  </si>
  <si>
    <t xml:space="preserve">CRPKA, PIONIR, 10 bara, Tbr.706068</t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</si>
  <si>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HBG–125, pr. ILR</t>
    </r>
  </si>
  <si>
    <r>
      <rPr>
        <sz val="10"/>
        <rFont val="Arial"/>
        <family val="2"/>
        <charset val="238"/>
      </rPr>
      <t xml:space="preserve">ISPRAV. za elek-lučno zavarivanje,</t>
    </r>
    <r>
      <rPr>
        <sz val="8"/>
        <rFont val="Arial"/>
        <family val="2"/>
        <charset val="238"/>
      </rPr>
      <t xml:space="preserve"> tip. CP 350, Tb.1013</t>
    </r>
  </si>
  <si>
    <r>
      <rPr>
        <sz val="10"/>
        <rFont val="Arial"/>
        <family val="2"/>
        <charset val="238"/>
      </rPr>
      <t xml:space="preserve">ISPRAVLJAČ za elektro-lučno zavariv., </t>
    </r>
    <r>
      <rPr>
        <sz val="8"/>
        <rFont val="Arial"/>
        <family val="2"/>
        <charset val="238"/>
      </rPr>
      <t xml:space="preserve">Tb.71342</t>
    </r>
  </si>
  <si>
    <r>
      <rPr>
        <sz val="10"/>
        <rFont val="Arial"/>
        <family val="2"/>
        <charset val="238"/>
      </rPr>
      <t xml:space="preserve">BRUSILICA za ravno brušenje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SFS 630/2.1, pr. WEB</t>
    </r>
  </si>
  <si>
    <t xml:space="preserve">OKRETNI ŠILJAK, II stupanj točnosti</t>
  </si>
  <si>
    <t xml:space="preserve">SUPORT za stezanje glodala pri brušenju</t>
  </si>
  <si>
    <t xml:space="preserve">UREĐAJ za obradu kugli, KOG 1300 100</t>
  </si>
  <si>
    <r>
      <rPr>
        <sz val="10"/>
        <rFont val="Arial"/>
        <family val="2"/>
        <charset val="238"/>
      </rPr>
      <t xml:space="preserve">STROJ za honovanje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VS 10-100F, pr. Nagel</t>
    </r>
  </si>
  <si>
    <r>
      <rPr>
        <sz val="10"/>
        <rFont val="Arial"/>
        <family val="2"/>
        <charset val="238"/>
      </rPr>
      <t xml:space="preserve">KARUSEL TOKARILICA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SKJ 20A, pr. TOS</t>
    </r>
  </si>
  <si>
    <t xml:space="preserve">KOMORA za pranje, bojanje, sušenje BRO</t>
  </si>
  <si>
    <t xml:space="preserve">UREĐAJ za zavarivanje</t>
  </si>
  <si>
    <t xml:space="preserve">POLUAUTOMAT za zavarivanje, TIG 225 </t>
  </si>
  <si>
    <r>
      <rPr>
        <sz val="10"/>
        <rFont val="Arial"/>
        <family val="2"/>
        <charset val="238"/>
      </rPr>
      <t xml:space="preserve">UREĐAJ za nanošenje boje, </t>
    </r>
    <r>
      <rPr>
        <sz val="9"/>
        <rFont val="Arial"/>
        <family val="2"/>
        <charset val="238"/>
      </rPr>
      <t xml:space="preserve">tip 238-26</t>
    </r>
  </si>
  <si>
    <t xml:space="preserve">KADA za ispiranje cijevi</t>
  </si>
  <si>
    <t xml:space="preserve">CRPKA, dobavna diesel goriva, tip. PASVK</t>
  </si>
  <si>
    <t xml:space="preserve">BUŠILICA-ČEKIĆ, elektro, HR 4500</t>
  </si>
  <si>
    <t xml:space="preserve">KLIMA UREĐAJ, ROADSTAR ACR 900 W</t>
  </si>
  <si>
    <t xml:space="preserve">APARAT za zavarivanje, ESAB MIG 405</t>
  </si>
  <si>
    <t xml:space="preserve">VISOKOTL. KLIPNA CRPKA, HPU 2250-2 S</t>
  </si>
  <si>
    <t xml:space="preserve">UREĐAJ za zavariv. ORIGO MIG C250 SA PS</t>
  </si>
  <si>
    <r>
      <rPr>
        <sz val="10"/>
        <rFont val="Arial"/>
        <family val="2"/>
        <charset val="238"/>
      </rPr>
      <t xml:space="preserve">SEPARATOR  ULJA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OSD 18-91-067/10, pr. GEA</t>
    </r>
  </si>
  <si>
    <r>
      <rPr>
        <sz val="10"/>
        <rFont val="Arial"/>
        <family val="2"/>
        <charset val="238"/>
      </rPr>
      <t xml:space="preserve">CRPKA ULJA-AGREGAT,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tip DVP-125-3DM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</si>
  <si>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Sirius HM4, pr. Oerlikon</t>
    </r>
  </si>
  <si>
    <r>
      <rPr>
        <sz val="10"/>
        <rFont val="Arial"/>
        <family val="2"/>
        <charset val="238"/>
      </rPr>
      <t xml:space="preserve">OBRADNI CENTAR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Argus KD3, pr. Oerlikon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</si>
  <si>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 /15m, Br.</t>
    </r>
    <r>
      <rPr>
        <b val="true"/>
        <sz val="9"/>
        <rFont val="Arial"/>
        <family val="2"/>
        <charset val="238"/>
      </rPr>
      <t xml:space="preserve">40</t>
    </r>
  </si>
  <si>
    <r>
      <rPr>
        <sz val="10"/>
        <rFont val="Arial"/>
        <family val="2"/>
        <charset val="238"/>
      </rPr>
      <t xml:space="preserve">DVOG. PORTALNA DIZALICA</t>
    </r>
    <r>
      <rPr>
        <sz val="8"/>
        <rFont val="Arial"/>
        <family val="2"/>
        <charset val="238"/>
      </rPr>
      <t xml:space="preserve">, tip. DPD 50/8 t/15m, Br.</t>
    </r>
    <r>
      <rPr>
        <b val="true"/>
        <sz val="9"/>
        <rFont val="Arial"/>
        <family val="2"/>
        <charset val="238"/>
      </rPr>
      <t xml:space="preserve">43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</si>
  <si>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16 Mp/18,1m,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42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</si>
  <si>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20t /15m, Br.</t>
    </r>
    <r>
      <rPr>
        <b val="true"/>
        <sz val="9"/>
        <rFont val="Arial"/>
        <family val="2"/>
        <charset val="238"/>
      </rPr>
      <t xml:space="preserve">44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</si>
  <si>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tip. DMD 50Mp/18,4m, Br.</t>
    </r>
    <r>
      <rPr>
        <b val="true"/>
        <sz val="9"/>
        <rFont val="Arial"/>
        <family val="2"/>
        <charset val="238"/>
      </rPr>
      <t xml:space="preserve">39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</si>
  <si>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16Mp/18,1m, Br.</t>
    </r>
    <r>
      <rPr>
        <b val="true"/>
        <sz val="9"/>
        <rFont val="Arial"/>
        <family val="2"/>
        <charset val="238"/>
      </rPr>
      <t xml:space="preserve">52</t>
    </r>
  </si>
  <si>
    <r>
      <rPr>
        <sz val="10"/>
        <rFont val="Arial"/>
        <family val="2"/>
        <charset val="238"/>
      </rPr>
      <t xml:space="preserve">DVOG. MOSNA DIZALI., </t>
    </r>
    <r>
      <rPr>
        <sz val="8"/>
        <rFont val="Arial"/>
        <family val="2"/>
        <charset val="238"/>
      </rPr>
      <t xml:space="preserve">tip. DMD 125/10 Mp/33m, Br.</t>
    </r>
    <r>
      <rPr>
        <b val="true"/>
        <sz val="9"/>
        <rFont val="Arial"/>
        <family val="2"/>
        <charset val="238"/>
      </rPr>
      <t xml:space="preserve">88</t>
    </r>
  </si>
  <si>
    <r>
      <rPr>
        <sz val="10"/>
        <rFont val="Arial"/>
        <family val="2"/>
        <charset val="238"/>
      </rPr>
      <t xml:space="preserve">DVOG. MOSNA DIZAL., </t>
    </r>
    <r>
      <rPr>
        <sz val="8"/>
        <rFont val="Arial"/>
        <family val="2"/>
        <charset val="238"/>
      </rPr>
      <t xml:space="preserve">tip. DMD 50/10 Mp / 33m, Br.</t>
    </r>
    <r>
      <rPr>
        <b val="true"/>
        <sz val="9"/>
        <rFont val="Arial"/>
        <family val="2"/>
        <charset val="238"/>
      </rPr>
      <t xml:space="preserve">90</t>
    </r>
  </si>
  <si>
    <r>
      <rPr>
        <sz val="10"/>
        <rFont val="Arial"/>
        <family val="2"/>
        <charset val="238"/>
      </rPr>
      <t xml:space="preserve">KONZOLNA DIZALICA,</t>
    </r>
    <r>
      <rPr>
        <sz val="9"/>
        <rFont val="Arial"/>
        <family val="2"/>
        <charset val="238"/>
      </rPr>
      <t xml:space="preserve"> tip. KD 5 Mp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141</t>
    </r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</si>
  <si>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tip. KD 5 Mp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142</t>
    </r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</si>
  <si>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tip. KD 5 Mp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143</t>
    </r>
  </si>
  <si>
    <r>
      <rPr>
        <sz val="10"/>
        <rFont val="Arial"/>
        <family val="2"/>
        <charset val="238"/>
      </rPr>
      <t xml:space="preserve">KONZOLNA DIZALICA, </t>
    </r>
    <r>
      <rPr>
        <sz val="9"/>
        <rFont val="Arial"/>
        <family val="2"/>
        <charset val="238"/>
      </rPr>
      <t xml:space="preserve">tip. KD 5 t /12m,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144</t>
    </r>
  </si>
  <si>
    <r>
      <rPr>
        <sz val="10"/>
        <rFont val="Arial"/>
        <family val="2"/>
        <charset val="238"/>
      </rPr>
      <t xml:space="preserve">DVOG. MOSNA DIZAL., </t>
    </r>
    <r>
      <rPr>
        <sz val="8"/>
        <rFont val="Arial"/>
        <family val="2"/>
        <charset val="238"/>
      </rPr>
      <t xml:space="preserve">tip. DMD 50/10 Mp/23 m, Br.</t>
    </r>
    <r>
      <rPr>
        <b val="true"/>
        <sz val="9"/>
        <rFont val="Arial"/>
        <family val="2"/>
        <charset val="238"/>
      </rPr>
      <t xml:space="preserve">91</t>
    </r>
  </si>
  <si>
    <r>
      <rPr>
        <sz val="10"/>
        <rFont val="Arial"/>
        <family val="2"/>
        <charset val="238"/>
      </rPr>
      <t xml:space="preserve">DVOG. MOSNA DIZAL., </t>
    </r>
    <r>
      <rPr>
        <sz val="8"/>
        <rFont val="Arial"/>
        <family val="2"/>
        <charset val="238"/>
      </rPr>
      <t xml:space="preserve">tip. DMD 100/10 Mp/23 m, Br.</t>
    </r>
    <r>
      <rPr>
        <b val="true"/>
        <sz val="9"/>
        <rFont val="Arial"/>
        <family val="2"/>
        <charset val="238"/>
      </rPr>
      <t xml:space="preserve">89</t>
    </r>
  </si>
  <si>
    <t xml:space="preserve">OSOBNI LIFT</t>
  </si>
  <si>
    <r>
      <rPr>
        <sz val="10"/>
        <rFont val="Arial"/>
        <family val="2"/>
        <charset val="238"/>
      </rPr>
      <t xml:space="preserve">STUPNA KONZOL.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SKD 1T/3,5m, Br.</t>
    </r>
    <r>
      <rPr>
        <b val="true"/>
        <sz val="9"/>
        <rFont val="Arial"/>
        <family val="2"/>
        <charset val="238"/>
      </rPr>
      <t xml:space="preserve">156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</si>
  <si>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5Mp/18,1m, Br.</t>
    </r>
    <r>
      <rPr>
        <b val="true"/>
        <sz val="9"/>
        <rFont val="Arial"/>
        <family val="2"/>
        <charset val="238"/>
      </rPr>
      <t xml:space="preserve">41</t>
    </r>
  </si>
  <si>
    <r>
      <rPr>
        <sz val="10"/>
        <rFont val="Arial"/>
        <family val="2"/>
        <charset val="238"/>
      </rPr>
      <t xml:space="preserve">STUPNA KONZ. DIZALICA, </t>
    </r>
    <r>
      <rPr>
        <sz val="8"/>
        <rFont val="Arial"/>
        <family val="2"/>
        <charset val="238"/>
      </rPr>
      <t xml:space="preserve">pneum., SKDp 1,5 kN, Br.</t>
    </r>
    <r>
      <rPr>
        <b val="true"/>
        <sz val="9"/>
        <rFont val="Arial"/>
        <family val="2"/>
        <charset val="238"/>
      </rPr>
      <t xml:space="preserve">128</t>
    </r>
  </si>
  <si>
    <t xml:space="preserve">NOSAČ PALETA, ASPA</t>
  </si>
  <si>
    <t xml:space="preserve">NOSAČ PALETA, TIRIP</t>
  </si>
  <si>
    <r>
      <rPr>
        <sz val="10"/>
        <rFont val="Arial"/>
        <family val="2"/>
        <charset val="238"/>
      </rPr>
      <t xml:space="preserve">DIZALICA elektro, DEMAG,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121</t>
    </r>
  </si>
  <si>
    <r>
      <rPr>
        <sz val="10"/>
        <rFont val="Arial"/>
        <family val="2"/>
        <charset val="238"/>
      </rPr>
      <t xml:space="preserve">JEDNOGREDNA MOSNA DIZALICA, </t>
    </r>
    <r>
      <rPr>
        <sz val="8"/>
        <rFont val="Arial"/>
        <family val="2"/>
        <charset val="238"/>
      </rPr>
      <t xml:space="preserve">Br.</t>
    </r>
    <r>
      <rPr>
        <b val="true"/>
        <sz val="9"/>
        <rFont val="Arial"/>
        <family val="2"/>
        <charset val="238"/>
      </rPr>
      <t xml:space="preserve">301</t>
    </r>
  </si>
  <si>
    <r>
      <rPr>
        <sz val="10"/>
        <rFont val="Arial"/>
        <family val="2"/>
        <charset val="238"/>
      </rPr>
      <t xml:space="preserve">JEDNOGR. MOSNA DIZALICA</t>
    </r>
    <r>
      <rPr>
        <sz val="9"/>
        <rFont val="Arial"/>
        <family val="2"/>
        <charset val="238"/>
      </rPr>
      <t xml:space="preserve">,</t>
    </r>
    <r>
      <rPr>
        <sz val="8"/>
        <rFont val="Arial"/>
        <family val="2"/>
        <charset val="238"/>
      </rPr>
      <t xml:space="preserve"> tip. JMD 5 kN, Br.</t>
    </r>
    <r>
      <rPr>
        <b val="true"/>
        <sz val="9"/>
        <rFont val="Arial"/>
        <family val="2"/>
        <charset val="238"/>
      </rPr>
      <t xml:space="preserve">303</t>
    </r>
  </si>
  <si>
    <t xml:space="preserve">VAGONETSKA VAGA, industrijska</t>
  </si>
  <si>
    <t xml:space="preserve">GLAVA za plansko tokar. Wohlhaupter</t>
  </si>
  <si>
    <t xml:space="preserve">GLOD. GLAVA s umet. noževima, desna</t>
  </si>
  <si>
    <t xml:space="preserve">GLOD. GLAVA s umetnutim noževima</t>
  </si>
  <si>
    <r>
      <rPr>
        <sz val="10"/>
        <rFont val="Arial"/>
        <family val="2"/>
        <charset val="238"/>
      </rPr>
      <t xml:space="preserve">GLOD. GLAVA s umet. nož., </t>
    </r>
    <r>
      <rPr>
        <sz val="8"/>
        <rFont val="Arial"/>
        <family val="2"/>
        <charset val="238"/>
      </rPr>
      <t xml:space="preserve">WALTER A</t>
    </r>
  </si>
  <si>
    <t xml:space="preserve">GLOD. GLAVA s umet. nož., WALTER B</t>
  </si>
  <si>
    <t xml:space="preserve">STOL, konferencijski, 210x110</t>
  </si>
  <si>
    <r>
      <rPr>
        <sz val="10"/>
        <rFont val="Arial"/>
        <family val="2"/>
        <charset val="238"/>
      </rPr>
      <t xml:space="preserve">TV, </t>
    </r>
    <r>
      <rPr>
        <sz val="8"/>
        <rFont val="Arial"/>
        <family val="2"/>
        <charset val="238"/>
      </rPr>
      <t xml:space="preserve">TOSHIBA  LCD  107 cm</t>
    </r>
  </si>
  <si>
    <t xml:space="preserve">ORMAR, uredski</t>
  </si>
  <si>
    <t xml:space="preserve">ORMARIĆ, uredski</t>
  </si>
  <si>
    <t xml:space="preserve">F780</t>
  </si>
  <si>
    <t xml:space="preserve">TANK za ulje, lok. Ri</t>
  </si>
  <si>
    <t xml:space="preserve">STEPENICE za pristup motoru</t>
  </si>
  <si>
    <t xml:space="preserve">KADA za dekonzervaciju dijelova motora</t>
  </si>
  <si>
    <t xml:space="preserve">CRPKA na ispitnom stolu</t>
  </si>
  <si>
    <t xml:space="preserve">TANK otpadnog ulja cca 2 m³</t>
  </si>
  <si>
    <t xml:space="preserve">TANK ulja za podmazivanje cilindara 0,5 m³</t>
  </si>
  <si>
    <t xml:space="preserve">AGREGAT, el.-hidr. cca 36 l/min, 250 bara PPT</t>
  </si>
  <si>
    <t xml:space="preserve">SPREMNIK rashl. vode sa crpkom, cca 5 m³, Sulzer</t>
  </si>
  <si>
    <r>
      <rPr>
        <sz val="10"/>
        <rFont val="Arial"/>
        <family val="2"/>
        <charset val="238"/>
      </rPr>
      <t xml:space="preserve">ELEKTROMOTOR, 50 kW, 1450 min</t>
    </r>
    <r>
      <rPr>
        <sz val="10"/>
        <rFont val="Calibri"/>
        <family val="2"/>
        <charset val="238"/>
      </rPr>
      <t xml:space="preserve">¯¹</t>
    </r>
    <r>
      <rPr>
        <sz val="10"/>
        <rFont val="Arial"/>
        <family val="2"/>
        <charset val="238"/>
      </rPr>
      <t xml:space="preserve">, 380/50Hz</t>
    </r>
  </si>
  <si>
    <t xml:space="preserve">STROJ za tokarenje skošenja na cijevima</t>
  </si>
  <si>
    <t xml:space="preserve">KRUŽNA PILA (cjevarna)</t>
  </si>
  <si>
    <r>
      <rPr>
        <sz val="10"/>
        <rFont val="Arial"/>
        <family val="2"/>
        <charset val="238"/>
      </rPr>
      <t xml:space="preserve">RADIJALNA BUŠILICA</t>
    </r>
    <r>
      <rPr>
        <sz val="9"/>
        <rFont val="Arial"/>
        <family val="2"/>
        <charset val="238"/>
      </rPr>
      <t xml:space="preserve">, tip. VR 6, pr. MAS (cjevarna)</t>
    </r>
  </si>
  <si>
    <r>
      <rPr>
        <sz val="10"/>
        <rFont val="Arial"/>
        <family val="2"/>
        <charset val="238"/>
      </rPr>
      <t xml:space="preserve">PLINSKA BOCA, za CO</t>
    </r>
    <r>
      <rPr>
        <sz val="8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 ili N</t>
    </r>
    <r>
      <rPr>
        <sz val="8"/>
        <rFont val="Arial"/>
        <family val="2"/>
        <charset val="238"/>
      </rPr>
      <t xml:space="preserve">2</t>
    </r>
  </si>
  <si>
    <t xml:space="preserve">CRPKA za kaljužnu vodu, 4 kW</t>
  </si>
  <si>
    <r>
      <rPr>
        <sz val="10"/>
        <rFont val="Arial"/>
        <family val="2"/>
        <charset val="238"/>
      </rPr>
      <t xml:space="preserve">BRTVENI MATERIJAL, pluto ploče, </t>
    </r>
    <r>
      <rPr>
        <sz val="8"/>
        <rFont val="Arial"/>
        <family val="2"/>
        <charset val="238"/>
      </rPr>
      <t xml:space="preserve">deb. 3mm, 100 m²</t>
    </r>
  </si>
  <si>
    <r>
      <rPr>
        <sz val="10"/>
        <rFont val="Arial"/>
        <family val="2"/>
        <charset val="238"/>
      </rPr>
      <t xml:space="preserve">TANK otpadne vode, </t>
    </r>
    <r>
      <rPr>
        <sz val="9"/>
        <rFont val="Arial"/>
        <family val="2"/>
        <charset val="238"/>
      </rPr>
      <t xml:space="preserve">cca 2500x1300x1500 mm</t>
    </r>
  </si>
  <si>
    <t xml:space="preserve">CRPKA, visokotlačna, pneumat., do 2.000 bara</t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</si>
  <si>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M30</t>
    </r>
  </si>
  <si>
    <r>
      <rPr>
        <sz val="10"/>
        <rFont val="Arial"/>
        <family val="2"/>
        <charset val="238"/>
      </rPr>
      <t xml:space="preserve">HIDRAUL. CILINDAR za stezanje svornjaka, </t>
    </r>
    <r>
      <rPr>
        <sz val="8"/>
        <rFont val="Arial"/>
        <family val="2"/>
        <charset val="238"/>
      </rPr>
      <t xml:space="preserve">M33÷M42</t>
    </r>
  </si>
  <si>
    <r>
      <rPr>
        <sz val="10"/>
        <rFont val="Arial"/>
        <family val="2"/>
        <charset val="238"/>
      </rPr>
      <t xml:space="preserve">TARNA PILA za rezanje cijevi,</t>
    </r>
    <r>
      <rPr>
        <sz val="8"/>
        <rFont val="Arial"/>
        <family val="2"/>
        <charset val="238"/>
      </rPr>
      <t xml:space="preserve"> OAC 300, Metal Progres</t>
    </r>
  </si>
  <si>
    <r>
      <rPr>
        <sz val="10"/>
        <rFont val="Arial"/>
        <family val="2"/>
        <charset val="238"/>
      </rPr>
      <t xml:space="preserve">ELEKTROAGREGAT, </t>
    </r>
    <r>
      <rPr>
        <sz val="8"/>
        <rFont val="Arial"/>
        <family val="2"/>
        <charset val="238"/>
      </rPr>
      <t xml:space="preserve">GT23LM-2, 315 kW, 720 min</t>
    </r>
    <r>
      <rPr>
        <sz val="8"/>
        <rFont val="Calibri"/>
        <family val="2"/>
        <charset val="238"/>
      </rPr>
      <t xml:space="preserve">¯¹, Litos.</t>
    </r>
  </si>
  <si>
    <t xml:space="preserve">PRINTER</t>
  </si>
  <si>
    <t xml:space="preserve">mod.</t>
  </si>
  <si>
    <r>
      <rPr>
        <sz val="10"/>
        <rFont val="Arial"/>
        <family val="2"/>
        <charset val="238"/>
      </rPr>
      <t xml:space="preserve">TRAČNA PILA za drvo</t>
    </r>
    <r>
      <rPr>
        <sz val="9"/>
        <rFont val="Arial"/>
        <family val="2"/>
        <charset val="238"/>
      </rPr>
      <t xml:space="preserve">, manja, pr. INCA </t>
    </r>
    <r>
      <rPr>
        <sz val="8"/>
        <rFont val="Arial"/>
        <family val="2"/>
        <charset val="238"/>
      </rPr>
      <t xml:space="preserve">(model.)</t>
    </r>
  </si>
  <si>
    <r>
      <rPr>
        <sz val="10"/>
        <rFont val="Arial"/>
        <family val="2"/>
        <charset val="238"/>
      </rPr>
      <t xml:space="preserve">BLANJALICA za drvo, </t>
    </r>
    <r>
      <rPr>
        <sz val="9"/>
        <rFont val="Arial"/>
        <family val="2"/>
        <charset val="238"/>
      </rPr>
      <t xml:space="preserve">tip. BP-63, pr. Bratstvo</t>
    </r>
    <r>
      <rPr>
        <sz val="8"/>
        <rFont val="Arial"/>
        <family val="2"/>
        <charset val="238"/>
      </rPr>
      <t xml:space="preserve"> (mod.)</t>
    </r>
  </si>
  <si>
    <r>
      <rPr>
        <sz val="10"/>
        <rFont val="Arial"/>
        <family val="2"/>
        <charset val="238"/>
      </rPr>
      <t xml:space="preserve">KRUŽNA PILA za drvo,</t>
    </r>
    <r>
      <rPr>
        <sz val="9"/>
        <rFont val="Arial"/>
        <family val="2"/>
        <charset val="238"/>
      </rPr>
      <t xml:space="preserve"> tip. BP-63.1, pr. Bratstvo </t>
    </r>
    <r>
      <rPr>
        <sz val="8"/>
        <rFont val="Arial"/>
        <family val="2"/>
        <charset val="238"/>
      </rPr>
      <t xml:space="preserve">(mod.)</t>
    </r>
  </si>
  <si>
    <r>
      <rPr>
        <sz val="10"/>
        <rFont val="Arial"/>
        <family val="2"/>
        <charset val="238"/>
      </rPr>
      <t xml:space="preserve">POVLAČNA KRUŽNA PILA za drvo </t>
    </r>
    <r>
      <rPr>
        <sz val="8"/>
        <rFont val="Arial"/>
        <family val="2"/>
        <charset val="238"/>
      </rPr>
      <t xml:space="preserve">(mod.)</t>
    </r>
  </si>
  <si>
    <r>
      <rPr>
        <sz val="10"/>
        <rFont val="Arial"/>
        <family val="2"/>
        <charset val="238"/>
      </rPr>
      <t xml:space="preserve">JEDNOGR. MOSNA  DIZALICA</t>
    </r>
    <r>
      <rPr>
        <sz val="8"/>
        <rFont val="Arial"/>
        <family val="2"/>
        <charset val="238"/>
      </rPr>
      <t xml:space="preserve">, nos. 2T, Br.</t>
    </r>
    <r>
      <rPr>
        <b val="true"/>
        <sz val="9"/>
        <rFont val="Arial"/>
        <family val="2"/>
        <charset val="238"/>
      </rPr>
      <t xml:space="preserve">82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(model.)</t>
    </r>
  </si>
  <si>
    <t xml:space="preserve">ljev.</t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</si>
  <si>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49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(ljev.)</t>
    </r>
  </si>
  <si>
    <r>
      <rPr>
        <sz val="10"/>
        <rFont val="Arial"/>
        <family val="2"/>
        <charset val="238"/>
      </rPr>
      <t xml:space="preserve">DVOGR. MOSNA DIZALICA</t>
    </r>
    <r>
      <rPr>
        <sz val="9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 xml:space="preserve">tip. 16T/ 15m, Br.</t>
    </r>
    <r>
      <rPr>
        <b val="true"/>
        <sz val="9"/>
        <rFont val="Arial"/>
        <family val="2"/>
        <charset val="238"/>
      </rPr>
      <t xml:space="preserve">48</t>
    </r>
    <r>
      <rPr>
        <sz val="8"/>
        <rFont val="Arial"/>
        <family val="2"/>
        <charset val="238"/>
      </rPr>
      <t xml:space="preserve"> (ljev.)</t>
    </r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</si>
  <si>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45/10T/15m, Br.</t>
    </r>
    <r>
      <rPr>
        <b val="true"/>
        <sz val="9"/>
        <rFont val="Arial"/>
        <family val="2"/>
        <charset val="238"/>
      </rPr>
      <t xml:space="preserve">51</t>
    </r>
  </si>
  <si>
    <t xml:space="preserve">kov.</t>
  </si>
  <si>
    <r>
      <rPr>
        <sz val="10"/>
        <rFont val="Arial"/>
        <family val="2"/>
        <charset val="238"/>
      </rPr>
      <t xml:space="preserve">DVOGR. MOSNA DIZALICA, </t>
    </r>
    <r>
      <rPr>
        <sz val="8"/>
        <rFont val="Arial"/>
        <family val="2"/>
        <charset val="238"/>
      </rPr>
      <t xml:space="preserve">tip. DMD 6T/15m, Br.</t>
    </r>
    <r>
      <rPr>
        <b val="true"/>
        <sz val="9"/>
        <rFont val="Arial"/>
        <family val="2"/>
        <charset val="238"/>
      </rPr>
      <t xml:space="preserve">77</t>
    </r>
    <r>
      <rPr>
        <sz val="8"/>
        <rFont val="Arial"/>
        <family val="2"/>
        <charset val="238"/>
      </rPr>
      <t xml:space="preserve"> (kov.)</t>
    </r>
  </si>
  <si>
    <r>
      <rPr>
        <sz val="10"/>
        <rFont val="Arial"/>
        <family val="2"/>
        <charset val="238"/>
      </rPr>
      <t xml:space="preserve">DVOGR. MOSNA DIZALICA</t>
    </r>
    <r>
      <rPr>
        <sz val="8"/>
        <rFont val="Arial"/>
        <family val="2"/>
        <charset val="238"/>
      </rPr>
      <t xml:space="preserve">, nos. 10T (ispred kovačnice)</t>
    </r>
  </si>
  <si>
    <r>
      <rPr>
        <sz val="10"/>
        <rFont val="Arial"/>
        <family val="2"/>
        <charset val="238"/>
      </rPr>
      <t xml:space="preserve">PRINT SERVER-NET PRN, </t>
    </r>
    <r>
      <rPr>
        <sz val="8"/>
        <rFont val="Arial"/>
        <family val="2"/>
        <charset val="238"/>
      </rPr>
      <t xml:space="preserve">DLK DP-301P         (MID)</t>
    </r>
  </si>
  <si>
    <r>
      <rPr>
        <sz val="10"/>
        <rFont val="Arial"/>
        <family val="2"/>
        <charset val="238"/>
      </rPr>
      <t xml:space="preserve">PRINTER, </t>
    </r>
    <r>
      <rPr>
        <sz val="8"/>
        <rFont val="Arial"/>
        <family val="2"/>
        <charset val="238"/>
      </rPr>
      <t xml:space="preserve">LEXMARX, E120N                                   (MID)</t>
    </r>
  </si>
  <si>
    <r>
      <rPr>
        <sz val="10"/>
        <rFont val="Arial"/>
        <family val="2"/>
        <charset val="238"/>
      </rPr>
      <t xml:space="preserve">RAČUNALO, </t>
    </r>
    <r>
      <rPr>
        <sz val="8"/>
        <rFont val="Arial"/>
        <family val="2"/>
        <charset val="238"/>
      </rPr>
      <t xml:space="preserve">HP, 8300ELITE CZC31869B1             (MID)</t>
    </r>
  </si>
  <si>
    <t xml:space="preserve">Kn.</t>
  </si>
  <si>
    <t xml:space="preserve">KN/EUR =</t>
  </si>
  <si>
    <t xml:space="preserve">EUR.</t>
  </si>
  <si>
    <t xml:space="preserve">Datum :   29.02.2020.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</si>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</sst>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General"/>
    <numFmt numFmtId="168" formatCode="#,##0.0"/>
  </numFmts>
  <fonts count="3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8"/>
      <color rgb="FFFF66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8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9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1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2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2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28" fillId="0" borderId="0" xfId="2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9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03. PROCJENA strojeva i opreme - ConVic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211" colorId="64" zoomScale="100" zoomScaleNormal="100" zoomScalePageLayoutView="100" workbookViewId="0">
      <selection pane="topLeft" activeCell="A220" activeCellId="0" sqref="A220"/>
    </sheetView>
  </sheetViews>
  <sheetFormatPr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4.57"/>
    <col collapsed="false" customWidth="true" hidden="false" outlineLevel="0" max="3" min="3" style="1" width="7.41"/>
    <col collapsed="false" customWidth="true" hidden="false" outlineLevel="0" max="4" min="4" style="1" width="44.85"/>
    <col collapsed="false" customWidth="true" hidden="false" outlineLevel="0" max="5" min="5" style="1" width="5.28"/>
    <col collapsed="false" customWidth="true" hidden="false" outlineLevel="0" max="6" min="6" style="1" width="10.29"/>
    <col collapsed="false" customWidth="true" hidden="false" outlineLevel="0" max="7" min="7" style="1" width="4.71"/>
    <col collapsed="false" customWidth="true" hidden="false" outlineLevel="0" max="8" min="8" style="1" width="11.71"/>
    <col collapsed="false" customWidth="true" hidden="false" outlineLevel="0" max="1025" min="9" style="1" width="8.67"/>
  </cols>
  <sheetData>
    <row r="1" customFormat="false" ht="3" hidden="false" customHeight="true" outlineLevel="0" collapsed="false"/>
    <row r="2" s="7" customFormat="true" ht="12" hidden="false" customHeight="true" outlineLevel="0" collapsed="false">
      <c r="A2" s="2" t="s">
        <v>0</v>
      </c>
      <c r="B2" s="3"/>
      <c r="C2" s="3" t="s">
        <v>1</v>
      </c>
      <c r="D2" s="4"/>
      <c r="E2" s="3" t="s">
        <v>2</v>
      </c>
      <c r="F2" s="5" t="s">
        <v>3</v>
      </c>
      <c r="G2" s="3" t="s">
        <v>4</v>
      </c>
      <c r="H2" s="6" t="s">
        <v>5</v>
      </c>
    </row>
    <row r="3" s="7" customFormat="true" ht="12" hidden="false" customHeight="true" outlineLevel="0" collapsed="false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1" t="s">
        <v>11</v>
      </c>
      <c r="G3" s="12"/>
      <c r="H3" s="13" t="s">
        <v>12</v>
      </c>
    </row>
    <row r="4" s="7" customFormat="true" ht="12" hidden="false" customHeight="true" outlineLevel="0" collapsed="false">
      <c r="A4" s="14"/>
      <c r="B4" s="15"/>
      <c r="C4" s="15"/>
      <c r="D4" s="16"/>
      <c r="E4" s="15" t="s">
        <v>13</v>
      </c>
      <c r="F4" s="17" t="s">
        <v>14</v>
      </c>
      <c r="G4" s="18" t="s">
        <v>15</v>
      </c>
      <c r="H4" s="19" t="s">
        <v>16</v>
      </c>
      <c r="I4" s="20"/>
    </row>
    <row r="5" s="7" customFormat="true" ht="4.5" hidden="false" customHeight="true" outlineLevel="0" collapsed="false">
      <c r="A5" s="21"/>
      <c r="B5" s="22"/>
      <c r="C5" s="22"/>
      <c r="D5" s="10"/>
      <c r="E5" s="22"/>
      <c r="F5" s="10"/>
      <c r="G5" s="23"/>
      <c r="H5" s="24"/>
      <c r="I5" s="20"/>
    </row>
    <row r="6" s="7" customFormat="true" ht="14.25" hidden="false" customHeight="true" outlineLevel="0" collapsed="false">
      <c r="A6" s="25" t="n">
        <v>1</v>
      </c>
      <c r="B6" s="26" t="s">
        <v>17</v>
      </c>
      <c r="C6" s="26" t="str">
        <f aca="false">"0620394"</f>
        <v>0620394</v>
      </c>
      <c r="D6" s="27" t="s">
        <v>18</v>
      </c>
      <c r="E6" s="26" t="n">
        <v>2008</v>
      </c>
      <c r="F6" s="28" t="n">
        <v>10000</v>
      </c>
      <c r="G6" s="29" t="n">
        <v>1</v>
      </c>
      <c r="H6" s="30" t="n">
        <v>630</v>
      </c>
      <c r="I6" s="20"/>
    </row>
    <row r="7" s="7" customFormat="true" ht="14.25" hidden="false" customHeight="true" outlineLevel="0" collapsed="false">
      <c r="A7" s="31" t="n">
        <v>2</v>
      </c>
      <c r="B7" s="32" t="s">
        <v>17</v>
      </c>
      <c r="C7" s="32" t="str">
        <f aca="false">"0620408"</f>
        <v>0620408</v>
      </c>
      <c r="D7" s="33" t="s">
        <v>19</v>
      </c>
      <c r="E7" s="32" t="n">
        <v>2008</v>
      </c>
      <c r="F7" s="34" t="n">
        <v>983.61</v>
      </c>
      <c r="G7" s="35" t="n">
        <v>1</v>
      </c>
      <c r="H7" s="36" t="n">
        <v>100</v>
      </c>
      <c r="I7" s="20"/>
    </row>
    <row r="8" s="7" customFormat="true" ht="14.25" hidden="false" customHeight="true" outlineLevel="0" collapsed="false">
      <c r="A8" s="25" t="n">
        <v>3</v>
      </c>
      <c r="B8" s="32" t="s">
        <v>17</v>
      </c>
      <c r="C8" s="32" t="str">
        <f aca="false">"0046659"</f>
        <v>0046659</v>
      </c>
      <c r="D8" s="33" t="s">
        <v>20</v>
      </c>
      <c r="E8" s="32" t="n">
        <v>2016</v>
      </c>
      <c r="F8" s="34" t="n">
        <v>1875</v>
      </c>
      <c r="G8" s="35" t="n">
        <v>1</v>
      </c>
      <c r="H8" s="36" t="n">
        <v>685</v>
      </c>
      <c r="I8" s="20"/>
    </row>
    <row r="9" s="37" customFormat="true" ht="13.8" hidden="false" customHeight="false" outlineLevel="0" collapsed="false">
      <c r="A9" s="31" t="n">
        <v>4</v>
      </c>
      <c r="B9" s="32" t="s">
        <v>17</v>
      </c>
      <c r="C9" s="32" t="str">
        <f aca="false">"0863793"</f>
        <v>0863793</v>
      </c>
      <c r="D9" s="33" t="s">
        <v>21</v>
      </c>
      <c r="E9" s="32" t="n">
        <v>1970</v>
      </c>
      <c r="F9" s="34" t="n">
        <v>78.39</v>
      </c>
      <c r="G9" s="35" t="n">
        <v>1</v>
      </c>
      <c r="H9" s="36" t="n">
        <v>5</v>
      </c>
    </row>
    <row r="10" s="37" customFormat="true" ht="13.8" hidden="false" customHeight="false" outlineLevel="0" collapsed="false">
      <c r="A10" s="25" t="n">
        <v>5</v>
      </c>
      <c r="B10" s="32" t="s">
        <v>17</v>
      </c>
      <c r="C10" s="32" t="str">
        <f aca="false">"0860441"</f>
        <v>0860441</v>
      </c>
      <c r="D10" s="33" t="s">
        <v>22</v>
      </c>
      <c r="E10" s="32" t="n">
        <v>2013</v>
      </c>
      <c r="F10" s="34" t="n">
        <v>3990</v>
      </c>
      <c r="G10" s="35" t="n">
        <v>2</v>
      </c>
      <c r="H10" s="36" t="n">
        <v>1600</v>
      </c>
    </row>
    <row r="11" s="37" customFormat="true" ht="13.8" hidden="false" customHeight="false" outlineLevel="0" collapsed="false">
      <c r="A11" s="31" t="n">
        <v>6</v>
      </c>
      <c r="B11" s="32" t="s">
        <v>23</v>
      </c>
      <c r="C11" s="32" t="str">
        <f aca="false">"0861170"</f>
        <v>0861170</v>
      </c>
      <c r="D11" s="33" t="s">
        <v>24</v>
      </c>
      <c r="E11" s="32" t="n">
        <v>2012</v>
      </c>
      <c r="F11" s="34" t="n">
        <v>2093.79</v>
      </c>
      <c r="G11" s="35" t="n">
        <v>2</v>
      </c>
      <c r="H11" s="36" t="n">
        <v>990</v>
      </c>
    </row>
    <row r="12" s="7" customFormat="true" ht="14.25" hidden="false" customHeight="true" outlineLevel="0" collapsed="false">
      <c r="A12" s="25" t="n">
        <v>7</v>
      </c>
      <c r="B12" s="32" t="s">
        <v>17</v>
      </c>
      <c r="C12" s="32" t="s">
        <v>25</v>
      </c>
      <c r="D12" s="33" t="s">
        <v>26</v>
      </c>
      <c r="E12" s="32" t="n">
        <v>2013</v>
      </c>
      <c r="F12" s="34" t="n">
        <v>2050</v>
      </c>
      <c r="G12" s="35" t="n">
        <v>1</v>
      </c>
      <c r="H12" s="36" t="n">
        <v>210</v>
      </c>
      <c r="I12" s="20"/>
    </row>
    <row r="13" s="7" customFormat="true" ht="14.25" hidden="false" customHeight="true" outlineLevel="0" collapsed="false">
      <c r="A13" s="31" t="n">
        <v>8</v>
      </c>
      <c r="B13" s="32" t="s">
        <v>17</v>
      </c>
      <c r="C13" s="32" t="s">
        <v>25</v>
      </c>
      <c r="D13" s="33" t="s">
        <v>27</v>
      </c>
      <c r="E13" s="32" t="n">
        <v>2013</v>
      </c>
      <c r="F13" s="34" t="n">
        <v>3800</v>
      </c>
      <c r="G13" s="35" t="n">
        <v>1</v>
      </c>
      <c r="H13" s="36" t="n">
        <v>760</v>
      </c>
      <c r="I13" s="20"/>
    </row>
    <row r="14" s="7" customFormat="true" ht="14.25" hidden="false" customHeight="true" outlineLevel="0" collapsed="false">
      <c r="A14" s="25" t="n">
        <v>9</v>
      </c>
      <c r="B14" s="32" t="s">
        <v>17</v>
      </c>
      <c r="C14" s="32" t="s">
        <v>25</v>
      </c>
      <c r="D14" s="33" t="s">
        <v>28</v>
      </c>
      <c r="E14" s="32" t="n">
        <v>2013</v>
      </c>
      <c r="F14" s="34" t="n">
        <v>3650</v>
      </c>
      <c r="G14" s="35" t="n">
        <v>1</v>
      </c>
      <c r="H14" s="36" t="n">
        <v>370</v>
      </c>
      <c r="I14" s="20"/>
    </row>
    <row r="15" s="7" customFormat="true" ht="14.25" hidden="false" customHeight="true" outlineLevel="0" collapsed="false">
      <c r="A15" s="31" t="n">
        <v>10</v>
      </c>
      <c r="B15" s="32" t="s">
        <v>17</v>
      </c>
      <c r="C15" s="32" t="s">
        <v>25</v>
      </c>
      <c r="D15" s="33" t="s">
        <v>29</v>
      </c>
      <c r="E15" s="32" t="n">
        <v>2001</v>
      </c>
      <c r="F15" s="34" t="n">
        <v>360</v>
      </c>
      <c r="G15" s="35" t="n">
        <v>2</v>
      </c>
      <c r="H15" s="36" t="n">
        <v>40</v>
      </c>
      <c r="I15" s="20"/>
    </row>
    <row r="16" s="7" customFormat="true" ht="14.25" hidden="false" customHeight="true" outlineLevel="0" collapsed="false">
      <c r="A16" s="31" t="n">
        <v>12</v>
      </c>
      <c r="B16" s="32" t="s">
        <v>17</v>
      </c>
      <c r="C16" s="32" t="s">
        <v>25</v>
      </c>
      <c r="D16" s="33" t="s">
        <v>30</v>
      </c>
      <c r="E16" s="32" t="n">
        <v>2006</v>
      </c>
      <c r="F16" s="34" t="n">
        <v>3600</v>
      </c>
      <c r="G16" s="35" t="n">
        <v>1</v>
      </c>
      <c r="H16" s="36" t="n">
        <v>230</v>
      </c>
      <c r="I16" s="20"/>
    </row>
    <row r="17" s="7" customFormat="true" ht="14.25" hidden="false" customHeight="true" outlineLevel="0" collapsed="false">
      <c r="A17" s="25" t="n">
        <v>13</v>
      </c>
      <c r="B17" s="32" t="s">
        <v>17</v>
      </c>
      <c r="C17" s="32" t="s">
        <v>25</v>
      </c>
      <c r="D17" s="33" t="s">
        <v>31</v>
      </c>
      <c r="E17" s="32" t="n">
        <v>2001</v>
      </c>
      <c r="F17" s="34" t="n">
        <v>3150</v>
      </c>
      <c r="G17" s="35" t="n">
        <v>1</v>
      </c>
      <c r="H17" s="36" t="n">
        <v>190</v>
      </c>
      <c r="I17" s="20"/>
    </row>
    <row r="18" s="7" customFormat="true" ht="14.25" hidden="false" customHeight="true" outlineLevel="0" collapsed="false">
      <c r="A18" s="31" t="n">
        <v>14</v>
      </c>
      <c r="B18" s="32" t="s">
        <v>17</v>
      </c>
      <c r="C18" s="32" t="s">
        <v>25</v>
      </c>
      <c r="D18" s="33" t="s">
        <v>32</v>
      </c>
      <c r="E18" s="32" t="n">
        <v>1986</v>
      </c>
      <c r="F18" s="34" t="n">
        <v>120</v>
      </c>
      <c r="G18" s="35" t="n">
        <v>21</v>
      </c>
      <c r="H18" s="36" t="n">
        <v>210</v>
      </c>
      <c r="I18" s="20"/>
    </row>
    <row r="19" s="7" customFormat="true" ht="14.25" hidden="false" customHeight="true" outlineLevel="0" collapsed="false">
      <c r="A19" s="25" t="n">
        <v>15</v>
      </c>
      <c r="B19" s="32" t="s">
        <v>17</v>
      </c>
      <c r="C19" s="32" t="s">
        <v>25</v>
      </c>
      <c r="D19" s="33" t="s">
        <v>33</v>
      </c>
      <c r="E19" s="32" t="n">
        <v>2013</v>
      </c>
      <c r="F19" s="34" t="n">
        <v>3934</v>
      </c>
      <c r="G19" s="35" t="n">
        <v>1</v>
      </c>
      <c r="H19" s="36" t="n">
        <v>1120</v>
      </c>
      <c r="I19" s="20"/>
    </row>
    <row r="20" s="7" customFormat="true" ht="14.25" hidden="false" customHeight="true" outlineLevel="0" collapsed="false">
      <c r="A20" s="31" t="n">
        <v>16</v>
      </c>
      <c r="B20" s="32" t="s">
        <v>17</v>
      </c>
      <c r="C20" s="32" t="s">
        <v>25</v>
      </c>
      <c r="D20" s="33" t="s">
        <v>34</v>
      </c>
      <c r="E20" s="32" t="n">
        <v>2013</v>
      </c>
      <c r="F20" s="34" t="n">
        <v>450</v>
      </c>
      <c r="G20" s="35" t="n">
        <v>1</v>
      </c>
      <c r="H20" s="36" t="n">
        <v>125</v>
      </c>
      <c r="I20" s="20"/>
    </row>
    <row r="21" s="37" customFormat="true" ht="13.8" hidden="false" customHeight="false" outlineLevel="0" collapsed="false">
      <c r="A21" s="25" t="n">
        <v>17</v>
      </c>
      <c r="B21" s="32" t="s">
        <v>17</v>
      </c>
      <c r="C21" s="32" t="str">
        <f aca="false">"0875724"</f>
        <v>0875724</v>
      </c>
      <c r="D21" s="33" t="s">
        <v>35</v>
      </c>
      <c r="E21" s="32" t="n">
        <v>2009</v>
      </c>
      <c r="F21" s="34" t="n">
        <v>2004</v>
      </c>
      <c r="G21" s="35" t="n">
        <v>1</v>
      </c>
      <c r="H21" s="36" t="n">
        <v>185</v>
      </c>
    </row>
    <row r="22" s="37" customFormat="true" ht="13.8" hidden="false" customHeight="false" outlineLevel="0" collapsed="false">
      <c r="A22" s="31" t="n">
        <v>18</v>
      </c>
      <c r="B22" s="32" t="s">
        <v>17</v>
      </c>
      <c r="C22" s="32" t="str">
        <f aca="false">"0886513"</f>
        <v>0886513</v>
      </c>
      <c r="D22" s="33" t="s">
        <v>36</v>
      </c>
      <c r="E22" s="32" t="n">
        <v>2016</v>
      </c>
      <c r="F22" s="34" t="n">
        <v>1468.04</v>
      </c>
      <c r="G22" s="35" t="n">
        <v>1</v>
      </c>
      <c r="H22" s="36" t="n">
        <v>620</v>
      </c>
    </row>
    <row r="23" s="37" customFormat="true" ht="13.8" hidden="false" customHeight="false" outlineLevel="0" collapsed="false">
      <c r="A23" s="25" t="n">
        <v>19</v>
      </c>
      <c r="B23" s="32" t="s">
        <v>17</v>
      </c>
      <c r="C23" s="32" t="str">
        <f aca="false">"0874655"</f>
        <v>0874655</v>
      </c>
      <c r="D23" s="33" t="s">
        <v>37</v>
      </c>
      <c r="E23" s="32" t="n">
        <v>2004</v>
      </c>
      <c r="F23" s="34" t="n">
        <v>2780</v>
      </c>
      <c r="G23" s="35" t="n">
        <v>1</v>
      </c>
      <c r="H23" s="36" t="n">
        <v>175</v>
      </c>
    </row>
    <row r="24" s="37" customFormat="true" ht="13.8" hidden="false" customHeight="false" outlineLevel="0" collapsed="false">
      <c r="A24" s="31" t="n">
        <v>20</v>
      </c>
      <c r="B24" s="32" t="s">
        <v>17</v>
      </c>
      <c r="C24" s="32" t="str">
        <f aca="false">"0875210"</f>
        <v>0875210</v>
      </c>
      <c r="D24" s="33" t="s">
        <v>38</v>
      </c>
      <c r="E24" s="32" t="n">
        <v>2006</v>
      </c>
      <c r="F24" s="34" t="n">
        <v>2403.5</v>
      </c>
      <c r="G24" s="35" t="n">
        <v>1</v>
      </c>
      <c r="H24" s="36" t="n">
        <v>200</v>
      </c>
    </row>
    <row r="25" s="37" customFormat="true" ht="13.8" hidden="false" customHeight="false" outlineLevel="0" collapsed="false">
      <c r="A25" s="31" t="n">
        <v>22</v>
      </c>
      <c r="B25" s="32" t="s">
        <v>39</v>
      </c>
      <c r="C25" s="32" t="str">
        <f aca="false">"0861928"</f>
        <v>0861928</v>
      </c>
      <c r="D25" s="33" t="s">
        <v>40</v>
      </c>
      <c r="E25" s="32" t="n">
        <v>1983</v>
      </c>
      <c r="F25" s="34" t="n">
        <v>35829.21</v>
      </c>
      <c r="G25" s="35" t="n">
        <v>1</v>
      </c>
      <c r="H25" s="36" t="n">
        <v>1640</v>
      </c>
    </row>
    <row r="26" s="37" customFormat="true" ht="13.8" hidden="false" customHeight="false" outlineLevel="0" collapsed="false">
      <c r="A26" s="25" t="n">
        <v>23</v>
      </c>
      <c r="B26" s="32" t="s">
        <v>39</v>
      </c>
      <c r="C26" s="32" t="str">
        <f aca="false">"0865524"</f>
        <v>0865524</v>
      </c>
      <c r="D26" s="33" t="s">
        <v>41</v>
      </c>
      <c r="E26" s="32" t="n">
        <v>1972</v>
      </c>
      <c r="F26" s="34" t="n">
        <v>808.71</v>
      </c>
      <c r="G26" s="35" t="n">
        <v>1</v>
      </c>
      <c r="H26" s="36" t="n">
        <v>25</v>
      </c>
    </row>
    <row r="27" s="37" customFormat="true" ht="13.8" hidden="false" customHeight="false" outlineLevel="0" collapsed="false">
      <c r="A27" s="31" t="n">
        <v>24</v>
      </c>
      <c r="B27" s="32" t="s">
        <v>39</v>
      </c>
      <c r="C27" s="32" t="str">
        <f aca="false">"0866059"</f>
        <v>0866059</v>
      </c>
      <c r="D27" s="33" t="s">
        <v>42</v>
      </c>
      <c r="E27" s="32" t="n">
        <v>1976</v>
      </c>
      <c r="F27" s="34" t="n">
        <v>514.89</v>
      </c>
      <c r="G27" s="35" t="n">
        <v>1</v>
      </c>
      <c r="H27" s="36" t="n">
        <v>20</v>
      </c>
    </row>
    <row r="28" s="37" customFormat="true" ht="13.8" hidden="false" customHeight="false" outlineLevel="0" collapsed="false">
      <c r="A28" s="25" t="n">
        <v>25</v>
      </c>
      <c r="B28" s="32" t="s">
        <v>39</v>
      </c>
      <c r="C28" s="32" t="str">
        <f aca="false">"0862371"</f>
        <v>0862371</v>
      </c>
      <c r="D28" s="33" t="s">
        <v>43</v>
      </c>
      <c r="E28" s="32" t="n">
        <v>1986</v>
      </c>
      <c r="F28" s="34" t="n">
        <v>61184.62</v>
      </c>
      <c r="G28" s="35" t="n">
        <v>1</v>
      </c>
      <c r="H28" s="36" t="n">
        <v>3000</v>
      </c>
    </row>
    <row r="29" s="37" customFormat="true" ht="13.8" hidden="false" customHeight="false" outlineLevel="0" collapsed="false">
      <c r="A29" s="31" t="n">
        <v>26</v>
      </c>
      <c r="B29" s="32" t="s">
        <v>39</v>
      </c>
      <c r="C29" s="32" t="str">
        <f aca="false">"0862398"</f>
        <v>0862398</v>
      </c>
      <c r="D29" s="33" t="s">
        <v>44</v>
      </c>
      <c r="E29" s="32" t="n">
        <v>1986</v>
      </c>
      <c r="F29" s="34" t="n">
        <v>39302.77</v>
      </c>
      <c r="G29" s="35" t="n">
        <v>1</v>
      </c>
      <c r="H29" s="36" t="n">
        <v>1910</v>
      </c>
    </row>
    <row r="30" s="37" customFormat="true" ht="13.8" hidden="false" customHeight="false" outlineLevel="0" collapsed="false">
      <c r="A30" s="31" t="n">
        <v>28</v>
      </c>
      <c r="B30" s="32" t="s">
        <v>39</v>
      </c>
      <c r="C30" s="32" t="str">
        <f aca="false">"0862436"</f>
        <v>0862436</v>
      </c>
      <c r="D30" s="33" t="s">
        <v>45</v>
      </c>
      <c r="E30" s="32" t="n">
        <v>1986</v>
      </c>
      <c r="F30" s="34" t="n">
        <v>18089.38</v>
      </c>
      <c r="G30" s="35" t="n">
        <v>1</v>
      </c>
      <c r="H30" s="36" t="n">
        <v>810</v>
      </c>
    </row>
    <row r="31" s="37" customFormat="true" ht="13.8" hidden="false" customHeight="false" outlineLevel="0" collapsed="false">
      <c r="A31" s="25" t="n">
        <v>29</v>
      </c>
      <c r="B31" s="32" t="s">
        <v>39</v>
      </c>
      <c r="C31" s="32" t="str">
        <f aca="false">"0862444"</f>
        <v>0862444</v>
      </c>
      <c r="D31" s="33" t="s">
        <v>46</v>
      </c>
      <c r="E31" s="32" t="n">
        <v>1986</v>
      </c>
      <c r="F31" s="34" t="n">
        <v>16900.07</v>
      </c>
      <c r="G31" s="35" t="n">
        <v>1</v>
      </c>
      <c r="H31" s="36" t="n">
        <v>760</v>
      </c>
    </row>
    <row r="32" s="37" customFormat="true" ht="13.8" hidden="false" customHeight="false" outlineLevel="0" collapsed="false">
      <c r="A32" s="31" t="n">
        <v>30</v>
      </c>
      <c r="B32" s="32" t="s">
        <v>39</v>
      </c>
      <c r="C32" s="32" t="str">
        <f aca="false">"0862452"</f>
        <v>0862452</v>
      </c>
      <c r="D32" s="33" t="s">
        <v>47</v>
      </c>
      <c r="E32" s="32" t="n">
        <v>1986</v>
      </c>
      <c r="F32" s="34" t="n">
        <v>3880.8</v>
      </c>
      <c r="G32" s="35" t="n">
        <v>1</v>
      </c>
      <c r="H32" s="36" t="n">
        <v>170</v>
      </c>
    </row>
    <row r="33" s="37" customFormat="true" ht="13.8" hidden="false" customHeight="false" outlineLevel="0" collapsed="false">
      <c r="A33" s="25" t="n">
        <v>31</v>
      </c>
      <c r="B33" s="32" t="s">
        <v>39</v>
      </c>
      <c r="C33" s="32" t="str">
        <f aca="false">"0862460"</f>
        <v>0862460</v>
      </c>
      <c r="D33" s="33" t="s">
        <v>48</v>
      </c>
      <c r="E33" s="32" t="n">
        <v>1986</v>
      </c>
      <c r="F33" s="34" t="n">
        <v>3880.8</v>
      </c>
      <c r="G33" s="35" t="n">
        <v>1</v>
      </c>
      <c r="H33" s="36" t="n">
        <v>170</v>
      </c>
    </row>
    <row r="34" s="37" customFormat="true" ht="13.8" hidden="false" customHeight="false" outlineLevel="0" collapsed="false">
      <c r="A34" s="31" t="n">
        <v>32</v>
      </c>
      <c r="B34" s="32" t="s">
        <v>39</v>
      </c>
      <c r="C34" s="32" t="str">
        <f aca="false">"0862479"</f>
        <v>0862479</v>
      </c>
      <c r="D34" s="33" t="s">
        <v>49</v>
      </c>
      <c r="E34" s="32" t="n">
        <v>1986</v>
      </c>
      <c r="F34" s="34" t="n">
        <v>5132.63</v>
      </c>
      <c r="G34" s="35" t="n">
        <v>1</v>
      </c>
      <c r="H34" s="36" t="n">
        <v>230</v>
      </c>
    </row>
    <row r="35" s="37" customFormat="true" ht="13.8" hidden="false" customHeight="false" outlineLevel="0" collapsed="false">
      <c r="A35" s="25" t="n">
        <v>33</v>
      </c>
      <c r="B35" s="32" t="s">
        <v>39</v>
      </c>
      <c r="C35" s="32" t="str">
        <f aca="false">"0862487"</f>
        <v>0862487</v>
      </c>
      <c r="D35" s="33" t="s">
        <v>50</v>
      </c>
      <c r="E35" s="32" t="n">
        <v>1986</v>
      </c>
      <c r="F35" s="34" t="n">
        <v>4631.82</v>
      </c>
      <c r="G35" s="35" t="n">
        <v>1</v>
      </c>
      <c r="H35" s="36" t="n">
        <v>210</v>
      </c>
    </row>
    <row r="36" s="37" customFormat="true" ht="13.8" hidden="false" customHeight="false" outlineLevel="0" collapsed="false">
      <c r="A36" s="31" t="n">
        <v>34</v>
      </c>
      <c r="B36" s="32" t="s">
        <v>39</v>
      </c>
      <c r="C36" s="32" t="str">
        <f aca="false">"0862495"</f>
        <v>0862495</v>
      </c>
      <c r="D36" s="33" t="s">
        <v>51</v>
      </c>
      <c r="E36" s="32" t="n">
        <v>1986</v>
      </c>
      <c r="F36" s="34" t="n">
        <v>1373.83</v>
      </c>
      <c r="G36" s="35" t="n">
        <v>2</v>
      </c>
      <c r="H36" s="36" t="n">
        <v>120</v>
      </c>
    </row>
    <row r="37" s="37" customFormat="true" ht="13.8" hidden="false" customHeight="false" outlineLevel="0" collapsed="false">
      <c r="A37" s="25" t="n">
        <v>35</v>
      </c>
      <c r="B37" s="32" t="s">
        <v>39</v>
      </c>
      <c r="C37" s="32" t="str">
        <f aca="false">"0862517"</f>
        <v>0862517</v>
      </c>
      <c r="D37" s="33" t="s">
        <v>52</v>
      </c>
      <c r="E37" s="32" t="n">
        <v>1986</v>
      </c>
      <c r="F37" s="34" t="n">
        <v>1373.83</v>
      </c>
      <c r="G37" s="35" t="n">
        <v>2</v>
      </c>
      <c r="H37" s="36" t="n">
        <v>120</v>
      </c>
    </row>
    <row r="38" s="37" customFormat="true" ht="13.8" hidden="false" customHeight="false" outlineLevel="0" collapsed="false">
      <c r="A38" s="31" t="n">
        <v>36</v>
      </c>
      <c r="B38" s="32" t="s">
        <v>39</v>
      </c>
      <c r="C38" s="32" t="str">
        <f aca="false">"0862533"</f>
        <v>0862533</v>
      </c>
      <c r="D38" s="33" t="s">
        <v>53</v>
      </c>
      <c r="E38" s="32" t="n">
        <v>1986</v>
      </c>
      <c r="F38" s="34" t="n">
        <v>1373.83</v>
      </c>
      <c r="G38" s="35" t="n">
        <v>2</v>
      </c>
      <c r="H38" s="36" t="n">
        <v>120</v>
      </c>
    </row>
    <row r="39" s="37" customFormat="true" ht="13.8" hidden="false" customHeight="false" outlineLevel="0" collapsed="false">
      <c r="A39" s="25" t="n">
        <v>37</v>
      </c>
      <c r="B39" s="32" t="s">
        <v>39</v>
      </c>
      <c r="C39" s="32" t="str">
        <f aca="false">"0862550"</f>
        <v>0862550</v>
      </c>
      <c r="D39" s="33" t="s">
        <v>54</v>
      </c>
      <c r="E39" s="32" t="n">
        <v>1986</v>
      </c>
      <c r="F39" s="34" t="n">
        <v>1373.83</v>
      </c>
      <c r="G39" s="35" t="n">
        <v>2</v>
      </c>
      <c r="H39" s="36" t="n">
        <v>120</v>
      </c>
    </row>
    <row r="40" s="37" customFormat="true" ht="13.8" hidden="false" customHeight="false" outlineLevel="0" collapsed="false">
      <c r="A40" s="31" t="n">
        <v>42</v>
      </c>
      <c r="B40" s="32" t="s">
        <v>39</v>
      </c>
      <c r="C40" s="32" t="str">
        <f aca="false">"0868159"</f>
        <v>0868159</v>
      </c>
      <c r="D40" s="33" t="s">
        <v>55</v>
      </c>
      <c r="E40" s="32" t="n">
        <v>1983</v>
      </c>
      <c r="F40" s="34" t="n">
        <f aca="false">2774.7*1.25</f>
        <v>3468.375</v>
      </c>
      <c r="G40" s="35" t="n">
        <v>1</v>
      </c>
      <c r="H40" s="36" t="n">
        <v>160</v>
      </c>
    </row>
    <row r="41" s="37" customFormat="true" ht="13.8" hidden="false" customHeight="false" outlineLevel="0" collapsed="false">
      <c r="A41" s="31" t="n">
        <v>44</v>
      </c>
      <c r="B41" s="32" t="s">
        <v>39</v>
      </c>
      <c r="C41" s="32" t="str">
        <f aca="false">"0863319"</f>
        <v>0863319</v>
      </c>
      <c r="D41" s="33" t="s">
        <v>56</v>
      </c>
      <c r="E41" s="32" t="n">
        <v>1970</v>
      </c>
      <c r="F41" s="34" t="n">
        <v>560.64</v>
      </c>
      <c r="G41" s="35" t="n">
        <v>1</v>
      </c>
      <c r="H41" s="36" t="n">
        <v>20</v>
      </c>
    </row>
    <row r="42" s="37" customFormat="true" ht="13.8" hidden="false" customHeight="false" outlineLevel="0" collapsed="false">
      <c r="A42" s="25" t="n">
        <v>45</v>
      </c>
      <c r="B42" s="32" t="s">
        <v>39</v>
      </c>
      <c r="C42" s="32" t="str">
        <f aca="false">"0869120"</f>
        <v>0869120</v>
      </c>
      <c r="D42" s="33" t="s">
        <v>57</v>
      </c>
      <c r="E42" s="32" t="n">
        <v>1984</v>
      </c>
      <c r="F42" s="34" t="n">
        <v>677.18</v>
      </c>
      <c r="G42" s="35" t="n">
        <v>2</v>
      </c>
      <c r="H42" s="36" t="n">
        <v>50</v>
      </c>
    </row>
    <row r="43" s="37" customFormat="true" ht="13.8" hidden="false" customHeight="false" outlineLevel="0" collapsed="false">
      <c r="A43" s="31" t="n">
        <v>46</v>
      </c>
      <c r="B43" s="32" t="s">
        <v>39</v>
      </c>
      <c r="C43" s="32" t="str">
        <f aca="false">"0869155"</f>
        <v>0869155</v>
      </c>
      <c r="D43" s="33" t="s">
        <v>57</v>
      </c>
      <c r="E43" s="32" t="n">
        <v>1984</v>
      </c>
      <c r="F43" s="34" t="n">
        <v>661.73</v>
      </c>
      <c r="G43" s="35" t="n">
        <v>2</v>
      </c>
      <c r="H43" s="36" t="n">
        <v>50</v>
      </c>
    </row>
    <row r="44" s="37" customFormat="true" ht="13.8" hidden="false" customHeight="false" outlineLevel="0" collapsed="false">
      <c r="A44" s="25" t="n">
        <v>47</v>
      </c>
      <c r="B44" s="32" t="s">
        <v>39</v>
      </c>
      <c r="C44" s="32" t="str">
        <f aca="false">"0863645"</f>
        <v>0863645</v>
      </c>
      <c r="D44" s="33" t="s">
        <v>42</v>
      </c>
      <c r="E44" s="32" t="n">
        <v>1975</v>
      </c>
      <c r="F44" s="34" t="n">
        <v>762.33</v>
      </c>
      <c r="G44" s="35" t="n">
        <v>1</v>
      </c>
      <c r="H44" s="36" t="n">
        <v>25</v>
      </c>
    </row>
    <row r="45" s="37" customFormat="true" ht="13.8" hidden="false" customHeight="false" outlineLevel="0" collapsed="false">
      <c r="A45" s="31" t="n">
        <v>48</v>
      </c>
      <c r="B45" s="32" t="s">
        <v>39</v>
      </c>
      <c r="C45" s="32" t="str">
        <f aca="false">"0869600"</f>
        <v>0869600</v>
      </c>
      <c r="D45" s="33" t="s">
        <v>57</v>
      </c>
      <c r="E45" s="32" t="n">
        <v>1984</v>
      </c>
      <c r="F45" s="34" t="n">
        <v>51.06</v>
      </c>
      <c r="G45" s="35" t="n">
        <v>1</v>
      </c>
      <c r="H45" s="36" t="n">
        <v>5</v>
      </c>
    </row>
    <row r="46" s="37" customFormat="true" ht="13.8" hidden="false" customHeight="false" outlineLevel="0" collapsed="false">
      <c r="A46" s="25" t="n">
        <v>49</v>
      </c>
      <c r="B46" s="32" t="s">
        <v>39</v>
      </c>
      <c r="C46" s="32" t="str">
        <f aca="false">"0869643"</f>
        <v>0869643</v>
      </c>
      <c r="D46" s="33" t="s">
        <v>57</v>
      </c>
      <c r="E46" s="32" t="n">
        <v>1984</v>
      </c>
      <c r="F46" s="34" t="n">
        <v>160.92</v>
      </c>
      <c r="G46" s="35" t="n">
        <v>1</v>
      </c>
      <c r="H46" s="36" t="n">
        <v>5</v>
      </c>
    </row>
    <row r="47" s="37" customFormat="true" ht="13.8" hidden="false" customHeight="false" outlineLevel="0" collapsed="false">
      <c r="A47" s="25" t="n">
        <v>51</v>
      </c>
      <c r="B47" s="32" t="s">
        <v>39</v>
      </c>
      <c r="C47" s="32" t="str">
        <f aca="false">"0870420"</f>
        <v>0870420</v>
      </c>
      <c r="D47" s="33" t="s">
        <v>58</v>
      </c>
      <c r="E47" s="32" t="n">
        <v>1984</v>
      </c>
      <c r="F47" s="34" t="n">
        <v>434.98</v>
      </c>
      <c r="G47" s="35" t="n">
        <v>1</v>
      </c>
      <c r="H47" s="36" t="n">
        <v>20</v>
      </c>
    </row>
    <row r="48" s="37" customFormat="true" ht="13.8" hidden="false" customHeight="false" outlineLevel="0" collapsed="false">
      <c r="A48" s="31" t="n">
        <v>52</v>
      </c>
      <c r="B48" s="32" t="s">
        <v>39</v>
      </c>
      <c r="C48" s="32" t="str">
        <f aca="false">"0870439"</f>
        <v>0870439</v>
      </c>
      <c r="D48" s="33" t="s">
        <v>57</v>
      </c>
      <c r="E48" s="32" t="n">
        <v>1984</v>
      </c>
      <c r="F48" s="34" t="n">
        <v>581.34</v>
      </c>
      <c r="G48" s="35" t="n">
        <v>1</v>
      </c>
      <c r="H48" s="36" t="n">
        <v>20</v>
      </c>
    </row>
    <row r="49" s="37" customFormat="true" ht="13.8" hidden="false" customHeight="false" outlineLevel="0" collapsed="false">
      <c r="A49" s="25" t="n">
        <v>53</v>
      </c>
      <c r="B49" s="32" t="s">
        <v>39</v>
      </c>
      <c r="C49" s="32" t="str">
        <f aca="false">"0864307"</f>
        <v>0864307</v>
      </c>
      <c r="D49" s="33" t="s">
        <v>57</v>
      </c>
      <c r="E49" s="32" t="n">
        <v>1971</v>
      </c>
      <c r="F49" s="34" t="n">
        <v>95.49</v>
      </c>
      <c r="G49" s="35" t="n">
        <v>1</v>
      </c>
      <c r="H49" s="36" t="n">
        <v>5</v>
      </c>
    </row>
    <row r="50" s="37" customFormat="true" ht="13.8" hidden="false" customHeight="false" outlineLevel="0" collapsed="false">
      <c r="A50" s="31" t="n">
        <v>54</v>
      </c>
      <c r="B50" s="32" t="s">
        <v>39</v>
      </c>
      <c r="C50" s="32" t="str">
        <f aca="false">"0864340"</f>
        <v>0864340</v>
      </c>
      <c r="D50" s="33" t="s">
        <v>59</v>
      </c>
      <c r="E50" s="32" t="n">
        <v>1971</v>
      </c>
      <c r="F50" s="34" t="n">
        <v>913.86</v>
      </c>
      <c r="G50" s="35" t="n">
        <v>2</v>
      </c>
      <c r="H50" s="36" t="n">
        <v>60</v>
      </c>
    </row>
    <row r="51" s="37" customFormat="true" ht="13.8" hidden="false" customHeight="false" outlineLevel="0" collapsed="false">
      <c r="A51" s="25" t="n">
        <v>55</v>
      </c>
      <c r="B51" s="32" t="s">
        <v>39</v>
      </c>
      <c r="C51" s="32" t="str">
        <f aca="false">"0860069"</f>
        <v>0860069</v>
      </c>
      <c r="D51" s="33" t="s">
        <v>60</v>
      </c>
      <c r="E51" s="32" t="n">
        <v>2009</v>
      </c>
      <c r="F51" s="34" t="n">
        <v>6833.75</v>
      </c>
      <c r="G51" s="35" t="n">
        <v>1</v>
      </c>
      <c r="H51" s="36" t="n">
        <v>630</v>
      </c>
    </row>
    <row r="52" s="37" customFormat="true" ht="13.8" hidden="false" customHeight="false" outlineLevel="0" collapsed="false">
      <c r="A52" s="31" t="n">
        <v>56</v>
      </c>
      <c r="B52" s="32" t="s">
        <v>39</v>
      </c>
      <c r="C52" s="32" t="str">
        <f aca="false">"0864536"</f>
        <v>0864536</v>
      </c>
      <c r="D52" s="33" t="s">
        <v>61</v>
      </c>
      <c r="E52" s="32" t="n">
        <v>1971</v>
      </c>
      <c r="F52" s="34" t="n">
        <v>656.21</v>
      </c>
      <c r="G52" s="35" t="n">
        <v>1</v>
      </c>
      <c r="H52" s="36" t="n">
        <v>20</v>
      </c>
    </row>
    <row r="53" s="37" customFormat="true" ht="13.8" hidden="false" customHeight="false" outlineLevel="0" collapsed="false">
      <c r="A53" s="25" t="n">
        <v>57</v>
      </c>
      <c r="B53" s="32" t="s">
        <v>39</v>
      </c>
      <c r="C53" s="32" t="str">
        <f aca="false">"0871710"</f>
        <v>0871710</v>
      </c>
      <c r="D53" s="33" t="s">
        <v>62</v>
      </c>
      <c r="E53" s="32" t="n">
        <v>1986</v>
      </c>
      <c r="F53" s="34" t="n">
        <v>610.25</v>
      </c>
      <c r="G53" s="35" t="n">
        <v>1</v>
      </c>
      <c r="H53" s="36" t="n">
        <v>25</v>
      </c>
    </row>
    <row r="54" s="37" customFormat="true" ht="13.8" hidden="false" customHeight="false" outlineLevel="0" collapsed="false">
      <c r="A54" s="31" t="n">
        <v>58</v>
      </c>
      <c r="B54" s="32" t="s">
        <v>39</v>
      </c>
      <c r="C54" s="32" t="str">
        <f aca="false">"0865087"</f>
        <v>0865087</v>
      </c>
      <c r="D54" s="33" t="s">
        <v>61</v>
      </c>
      <c r="E54" s="32" t="n">
        <v>1972</v>
      </c>
      <c r="F54" s="34" t="n">
        <v>335.76</v>
      </c>
      <c r="G54" s="35" t="n">
        <v>1</v>
      </c>
      <c r="H54" s="36" t="n">
        <v>10</v>
      </c>
    </row>
    <row r="55" s="37" customFormat="true" ht="13.8" hidden="false" customHeight="false" outlineLevel="0" collapsed="false">
      <c r="A55" s="25" t="n">
        <v>59</v>
      </c>
      <c r="B55" s="32" t="s">
        <v>39</v>
      </c>
      <c r="C55" s="32" t="str">
        <f aca="false">"0865095"</f>
        <v>0865095</v>
      </c>
      <c r="D55" s="33" t="s">
        <v>61</v>
      </c>
      <c r="E55" s="32" t="n">
        <v>1972</v>
      </c>
      <c r="F55" s="34" t="n">
        <v>277.38</v>
      </c>
      <c r="G55" s="35" t="n">
        <v>1</v>
      </c>
      <c r="H55" s="36" t="n">
        <v>10</v>
      </c>
    </row>
    <row r="56" s="37" customFormat="true" ht="13.8" hidden="false" customHeight="false" outlineLevel="0" collapsed="false">
      <c r="A56" s="31" t="n">
        <v>60</v>
      </c>
      <c r="B56" s="32" t="s">
        <v>39</v>
      </c>
      <c r="C56" s="32" t="str">
        <f aca="false">"0865109"</f>
        <v>0865109</v>
      </c>
      <c r="D56" s="33" t="s">
        <v>42</v>
      </c>
      <c r="E56" s="32" t="n">
        <v>1972</v>
      </c>
      <c r="F56" s="34" t="n">
        <v>277.38</v>
      </c>
      <c r="G56" s="35" t="n">
        <v>1</v>
      </c>
      <c r="H56" s="36" t="n">
        <v>10</v>
      </c>
    </row>
    <row r="57" s="37" customFormat="true" ht="13.8" hidden="false" customHeight="false" outlineLevel="0" collapsed="false">
      <c r="A57" s="25" t="n">
        <v>65</v>
      </c>
      <c r="B57" s="32" t="s">
        <v>39</v>
      </c>
      <c r="C57" s="32" t="str">
        <f aca="false">"0876852"</f>
        <v>0876852</v>
      </c>
      <c r="D57" s="33" t="s">
        <v>63</v>
      </c>
      <c r="E57" s="32" t="n">
        <v>2001</v>
      </c>
      <c r="F57" s="34" t="n">
        <v>2791.58</v>
      </c>
      <c r="G57" s="35" t="n">
        <v>2</v>
      </c>
      <c r="H57" s="36" t="n">
        <v>320</v>
      </c>
    </row>
    <row r="58" s="37" customFormat="true" ht="13.8" hidden="false" customHeight="false" outlineLevel="0" collapsed="false">
      <c r="A58" s="31" t="n">
        <v>66</v>
      </c>
      <c r="B58" s="32" t="s">
        <v>39</v>
      </c>
      <c r="C58" s="32" t="str">
        <f aca="false">"0876941"</f>
        <v>0876941</v>
      </c>
      <c r="D58" s="33" t="s">
        <v>64</v>
      </c>
      <c r="E58" s="32" t="n">
        <v>2012</v>
      </c>
      <c r="F58" s="34" t="n">
        <v>11369.6</v>
      </c>
      <c r="G58" s="35" t="n">
        <v>1</v>
      </c>
      <c r="H58" s="36" t="n">
        <v>1710</v>
      </c>
    </row>
    <row r="59" s="37" customFormat="true" ht="13.8" hidden="false" customHeight="false" outlineLevel="0" collapsed="false">
      <c r="A59" s="25" t="n">
        <v>67</v>
      </c>
      <c r="B59" s="32" t="s">
        <v>39</v>
      </c>
      <c r="C59" s="32" t="str">
        <f aca="false">"0873659"</f>
        <v>0873659</v>
      </c>
      <c r="D59" s="33" t="s">
        <v>65</v>
      </c>
      <c r="E59" s="32" t="n">
        <v>1999</v>
      </c>
      <c r="F59" s="34" t="n">
        <v>800</v>
      </c>
      <c r="G59" s="35" t="n">
        <v>1</v>
      </c>
      <c r="H59" s="36" t="n">
        <v>50</v>
      </c>
    </row>
    <row r="60" s="37" customFormat="true" ht="13.8" hidden="false" customHeight="false" outlineLevel="0" collapsed="false">
      <c r="A60" s="31" t="n">
        <v>68</v>
      </c>
      <c r="B60" s="32" t="s">
        <v>39</v>
      </c>
      <c r="C60" s="32" t="str">
        <f aca="false">"0873675"</f>
        <v>0873675</v>
      </c>
      <c r="D60" s="33" t="s">
        <v>66</v>
      </c>
      <c r="E60" s="32" t="n">
        <v>1999</v>
      </c>
      <c r="F60" s="34" t="n">
        <v>280</v>
      </c>
      <c r="G60" s="35" t="n">
        <v>1</v>
      </c>
      <c r="H60" s="36" t="n">
        <v>15</v>
      </c>
    </row>
    <row r="61" s="37" customFormat="true" ht="13.8" hidden="false" customHeight="false" outlineLevel="0" collapsed="false">
      <c r="A61" s="25" t="n">
        <v>69</v>
      </c>
      <c r="B61" s="32" t="s">
        <v>39</v>
      </c>
      <c r="C61" s="32" t="str">
        <f aca="false">"0873683"</f>
        <v>0873683</v>
      </c>
      <c r="D61" s="33" t="s">
        <v>67</v>
      </c>
      <c r="E61" s="32" t="n">
        <v>1999</v>
      </c>
      <c r="F61" s="34" t="n">
        <v>360</v>
      </c>
      <c r="G61" s="35" t="n">
        <v>1</v>
      </c>
      <c r="H61" s="36" t="n">
        <v>20</v>
      </c>
    </row>
    <row r="62" s="37" customFormat="true" ht="13.8" hidden="false" customHeight="false" outlineLevel="0" collapsed="false">
      <c r="A62" s="31" t="n">
        <v>70</v>
      </c>
      <c r="B62" s="32" t="s">
        <v>39</v>
      </c>
      <c r="C62" s="32" t="str">
        <f aca="false">"0873691"</f>
        <v>0873691</v>
      </c>
      <c r="D62" s="33" t="s">
        <v>68</v>
      </c>
      <c r="E62" s="32" t="n">
        <v>1999</v>
      </c>
      <c r="F62" s="34" t="n">
        <v>300</v>
      </c>
      <c r="G62" s="35" t="n">
        <v>1</v>
      </c>
      <c r="H62" s="36" t="n">
        <v>15</v>
      </c>
    </row>
    <row r="63" s="37" customFormat="true" ht="13.8" hidden="false" customHeight="false" outlineLevel="0" collapsed="false">
      <c r="A63" s="25" t="n">
        <v>71</v>
      </c>
      <c r="B63" s="32" t="s">
        <v>39</v>
      </c>
      <c r="C63" s="32" t="str">
        <f aca="false">"0873705"</f>
        <v>0873705</v>
      </c>
      <c r="D63" s="33" t="s">
        <v>69</v>
      </c>
      <c r="E63" s="32" t="n">
        <v>1999</v>
      </c>
      <c r="F63" s="34" t="n">
        <v>250</v>
      </c>
      <c r="G63" s="35" t="n">
        <v>1</v>
      </c>
      <c r="H63" s="36" t="n">
        <v>15</v>
      </c>
    </row>
    <row r="64" s="37" customFormat="true" ht="13.8" hidden="false" customHeight="false" outlineLevel="0" collapsed="false">
      <c r="A64" s="31" t="n">
        <v>72</v>
      </c>
      <c r="B64" s="32" t="s">
        <v>39</v>
      </c>
      <c r="C64" s="32" t="str">
        <f aca="false">"0873730"</f>
        <v>0873730</v>
      </c>
      <c r="D64" s="33" t="s">
        <v>70</v>
      </c>
      <c r="E64" s="32" t="n">
        <v>1999</v>
      </c>
      <c r="F64" s="34" t="n">
        <v>340</v>
      </c>
      <c r="G64" s="35" t="n">
        <v>2</v>
      </c>
      <c r="H64" s="36" t="n">
        <v>40</v>
      </c>
    </row>
    <row r="65" s="37" customFormat="true" ht="13.8" hidden="false" customHeight="false" outlineLevel="0" collapsed="false">
      <c r="A65" s="25" t="n">
        <v>73</v>
      </c>
      <c r="B65" s="32" t="s">
        <v>39</v>
      </c>
      <c r="C65" s="32" t="str">
        <f aca="false">"0874094"</f>
        <v>0874094</v>
      </c>
      <c r="D65" s="33" t="s">
        <v>71</v>
      </c>
      <c r="E65" s="32" t="n">
        <v>2001</v>
      </c>
      <c r="F65" s="34" t="n">
        <v>6053</v>
      </c>
      <c r="G65" s="35" t="n">
        <v>1</v>
      </c>
      <c r="H65" s="36" t="n">
        <v>350</v>
      </c>
    </row>
    <row r="66" s="37" customFormat="true" ht="13.8" hidden="false" customHeight="false" outlineLevel="0" collapsed="false">
      <c r="A66" s="31" t="n">
        <v>74</v>
      </c>
      <c r="B66" s="32" t="s">
        <v>39</v>
      </c>
      <c r="C66" s="32" t="str">
        <f aca="false">"0875198"</f>
        <v>0875198</v>
      </c>
      <c r="D66" s="33" t="s">
        <v>72</v>
      </c>
      <c r="E66" s="32" t="n">
        <v>2006</v>
      </c>
      <c r="F66" s="34" t="n">
        <v>8100</v>
      </c>
      <c r="G66" s="35" t="n">
        <v>1</v>
      </c>
      <c r="H66" s="36" t="n">
        <v>520</v>
      </c>
    </row>
    <row r="67" s="37" customFormat="true" ht="13.8" hidden="false" customHeight="false" outlineLevel="0" collapsed="false">
      <c r="A67" s="25" t="n">
        <v>75</v>
      </c>
      <c r="B67" s="32" t="s">
        <v>39</v>
      </c>
      <c r="C67" s="32" t="str">
        <f aca="false">"0901938"</f>
        <v>0901938</v>
      </c>
      <c r="D67" s="33" t="s">
        <v>73</v>
      </c>
      <c r="E67" s="32" t="n">
        <v>2016</v>
      </c>
      <c r="F67" s="34" t="n">
        <v>13498.2</v>
      </c>
      <c r="G67" s="35" t="n">
        <v>1</v>
      </c>
      <c r="H67" s="36" t="n">
        <v>5700</v>
      </c>
    </row>
    <row r="68" s="37" customFormat="true" ht="13.8" hidden="false" customHeight="false" outlineLevel="0" collapsed="false">
      <c r="A68" s="31" t="n">
        <v>76</v>
      </c>
      <c r="B68" s="32" t="s">
        <v>39</v>
      </c>
      <c r="C68" s="32" t="str">
        <f aca="false">"0902152"</f>
        <v>0902152</v>
      </c>
      <c r="D68" s="33" t="s">
        <v>74</v>
      </c>
      <c r="E68" s="32" t="n">
        <v>2016</v>
      </c>
      <c r="F68" s="34" t="n">
        <v>3592</v>
      </c>
      <c r="G68" s="35" t="n">
        <v>1</v>
      </c>
      <c r="H68" s="36" t="n">
        <v>1520</v>
      </c>
    </row>
    <row r="69" s="37" customFormat="true" ht="13.8" hidden="false" customHeight="false" outlineLevel="0" collapsed="false">
      <c r="A69" s="31" t="n">
        <v>78</v>
      </c>
      <c r="B69" s="32" t="s">
        <v>39</v>
      </c>
      <c r="C69" s="32" t="s">
        <v>25</v>
      </c>
      <c r="D69" s="33" t="s">
        <v>75</v>
      </c>
      <c r="E69" s="32" t="n">
        <v>1983</v>
      </c>
      <c r="F69" s="34" t="n">
        <v>650</v>
      </c>
      <c r="G69" s="35" t="n">
        <v>1</v>
      </c>
      <c r="H69" s="36" t="n">
        <v>25</v>
      </c>
    </row>
    <row r="70" s="37" customFormat="true" ht="13.8" hidden="false" customHeight="false" outlineLevel="0" collapsed="false">
      <c r="A70" s="25" t="n">
        <v>79</v>
      </c>
      <c r="B70" s="32" t="s">
        <v>39</v>
      </c>
      <c r="C70" s="32" t="s">
        <v>25</v>
      </c>
      <c r="D70" s="33" t="s">
        <v>76</v>
      </c>
      <c r="E70" s="32" t="n">
        <v>1983</v>
      </c>
      <c r="F70" s="34" t="n">
        <v>280</v>
      </c>
      <c r="G70" s="35" t="n">
        <v>1</v>
      </c>
      <c r="H70" s="36" t="n">
        <v>10</v>
      </c>
    </row>
    <row r="71" s="37" customFormat="true" ht="13.8" hidden="false" customHeight="false" outlineLevel="0" collapsed="false">
      <c r="A71" s="25" t="n">
        <v>81</v>
      </c>
      <c r="B71" s="32" t="s">
        <v>39</v>
      </c>
      <c r="C71" s="32" t="s">
        <v>25</v>
      </c>
      <c r="D71" s="33" t="s">
        <v>32</v>
      </c>
      <c r="E71" s="32" t="n">
        <v>1983</v>
      </c>
      <c r="F71" s="34" t="n">
        <v>120</v>
      </c>
      <c r="G71" s="35" t="n">
        <v>12</v>
      </c>
      <c r="H71" s="36" t="n">
        <v>60</v>
      </c>
    </row>
    <row r="72" s="37" customFormat="true" ht="13.8" hidden="false" customHeight="false" outlineLevel="0" collapsed="false">
      <c r="A72" s="31" t="n">
        <v>82</v>
      </c>
      <c r="B72" s="32" t="s">
        <v>39</v>
      </c>
      <c r="C72" s="32" t="s">
        <v>25</v>
      </c>
      <c r="D72" s="33" t="s">
        <v>77</v>
      </c>
      <c r="E72" s="32" t="n">
        <v>2013</v>
      </c>
      <c r="F72" s="34" t="n">
        <v>5200</v>
      </c>
      <c r="G72" s="35" t="n">
        <v>2</v>
      </c>
      <c r="H72" s="36" t="n">
        <v>1060</v>
      </c>
    </row>
    <row r="73" s="37" customFormat="true" ht="13.8" hidden="false" customHeight="false" outlineLevel="0" collapsed="false">
      <c r="A73" s="25" t="n">
        <v>83</v>
      </c>
      <c r="B73" s="32" t="s">
        <v>39</v>
      </c>
      <c r="C73" s="32" t="s">
        <v>25</v>
      </c>
      <c r="D73" s="33" t="s">
        <v>78</v>
      </c>
      <c r="E73" s="32" t="n">
        <v>2013</v>
      </c>
      <c r="F73" s="34" t="n">
        <v>1500</v>
      </c>
      <c r="G73" s="35" t="n">
        <v>2</v>
      </c>
      <c r="H73" s="36" t="n">
        <v>600</v>
      </c>
    </row>
    <row r="74" s="37" customFormat="true" ht="13.8" hidden="false" customHeight="false" outlineLevel="0" collapsed="false">
      <c r="A74" s="31" t="n">
        <v>84</v>
      </c>
      <c r="B74" s="32" t="s">
        <v>39</v>
      </c>
      <c r="C74" s="32" t="s">
        <v>25</v>
      </c>
      <c r="D74" s="33" t="s">
        <v>79</v>
      </c>
      <c r="E74" s="32" t="n">
        <v>2013</v>
      </c>
      <c r="F74" s="34" t="n">
        <v>5300</v>
      </c>
      <c r="G74" s="35" t="n">
        <v>1</v>
      </c>
      <c r="H74" s="36" t="n">
        <v>540</v>
      </c>
    </row>
    <row r="75" s="37" customFormat="true" ht="13.8" hidden="false" customHeight="false" outlineLevel="0" collapsed="false">
      <c r="A75" s="25" t="n">
        <v>85</v>
      </c>
      <c r="B75" s="32" t="s">
        <v>39</v>
      </c>
      <c r="C75" s="32" t="s">
        <v>25</v>
      </c>
      <c r="D75" s="33" t="s">
        <v>80</v>
      </c>
      <c r="E75" s="32" t="n">
        <v>2013</v>
      </c>
      <c r="F75" s="34" t="n">
        <v>3500</v>
      </c>
      <c r="G75" s="35" t="n">
        <v>1</v>
      </c>
      <c r="H75" s="36" t="n">
        <v>700</v>
      </c>
    </row>
    <row r="76" s="37" customFormat="true" ht="13.8" hidden="false" customHeight="false" outlineLevel="0" collapsed="false">
      <c r="A76" s="31" t="n">
        <v>86</v>
      </c>
      <c r="B76" s="32" t="s">
        <v>39</v>
      </c>
      <c r="C76" s="32" t="s">
        <v>25</v>
      </c>
      <c r="D76" s="33" t="s">
        <v>81</v>
      </c>
      <c r="E76" s="32" t="n">
        <v>2013</v>
      </c>
      <c r="F76" s="34" t="n">
        <v>6500</v>
      </c>
      <c r="G76" s="35" t="n">
        <v>1</v>
      </c>
      <c r="H76" s="36" t="n">
        <v>1300</v>
      </c>
    </row>
    <row r="77" s="37" customFormat="true" ht="13.8" hidden="false" customHeight="false" outlineLevel="0" collapsed="false">
      <c r="A77" s="25" t="n">
        <v>87</v>
      </c>
      <c r="B77" s="32" t="s">
        <v>39</v>
      </c>
      <c r="C77" s="32" t="s">
        <v>25</v>
      </c>
      <c r="D77" s="33" t="s">
        <v>82</v>
      </c>
      <c r="E77" s="32" t="n">
        <v>2013</v>
      </c>
      <c r="F77" s="34" t="n">
        <v>4200</v>
      </c>
      <c r="G77" s="35" t="n">
        <v>1</v>
      </c>
      <c r="H77" s="36" t="n">
        <v>840</v>
      </c>
    </row>
    <row r="78" s="37" customFormat="true" ht="13.8" hidden="false" customHeight="false" outlineLevel="0" collapsed="false">
      <c r="A78" s="31" t="n">
        <v>88</v>
      </c>
      <c r="B78" s="32" t="s">
        <v>39</v>
      </c>
      <c r="C78" s="32" t="s">
        <v>25</v>
      </c>
      <c r="D78" s="33" t="s">
        <v>83</v>
      </c>
      <c r="E78" s="32" t="n">
        <v>2013</v>
      </c>
      <c r="F78" s="34" t="n">
        <v>6700</v>
      </c>
      <c r="G78" s="35" t="n">
        <v>1</v>
      </c>
      <c r="H78" s="36" t="n">
        <v>1340</v>
      </c>
    </row>
    <row r="79" s="37" customFormat="true" ht="13.8" hidden="false" customHeight="false" outlineLevel="0" collapsed="false">
      <c r="A79" s="25" t="n">
        <v>89</v>
      </c>
      <c r="B79" s="32" t="s">
        <v>39</v>
      </c>
      <c r="C79" s="32" t="s">
        <v>25</v>
      </c>
      <c r="D79" s="33" t="s">
        <v>84</v>
      </c>
      <c r="E79" s="32" t="n">
        <v>2013</v>
      </c>
      <c r="F79" s="34" t="n">
        <v>850</v>
      </c>
      <c r="G79" s="35" t="n">
        <v>1</v>
      </c>
      <c r="H79" s="36" t="n">
        <v>190</v>
      </c>
    </row>
    <row r="80" s="37" customFormat="true" ht="13.8" hidden="false" customHeight="false" outlineLevel="0" collapsed="false">
      <c r="A80" s="31" t="n">
        <v>90</v>
      </c>
      <c r="B80" s="32" t="s">
        <v>39</v>
      </c>
      <c r="C80" s="32" t="s">
        <v>25</v>
      </c>
      <c r="D80" s="33" t="s">
        <v>85</v>
      </c>
      <c r="E80" s="32" t="n">
        <v>1983</v>
      </c>
      <c r="F80" s="34" t="n">
        <v>150</v>
      </c>
      <c r="G80" s="35" t="n">
        <v>1</v>
      </c>
      <c r="H80" s="36" t="n">
        <v>5</v>
      </c>
    </row>
    <row r="81" s="37" customFormat="true" ht="13.8" hidden="false" customHeight="false" outlineLevel="0" collapsed="false">
      <c r="A81" s="25" t="n">
        <v>91</v>
      </c>
      <c r="B81" s="32" t="s">
        <v>86</v>
      </c>
      <c r="C81" s="32" t="str">
        <f aca="false">"0047112"</f>
        <v>0047112</v>
      </c>
      <c r="D81" s="33" t="s">
        <v>41</v>
      </c>
      <c r="E81" s="32" t="n">
        <v>1972</v>
      </c>
      <c r="F81" s="34" t="n">
        <v>809.53</v>
      </c>
      <c r="G81" s="35" t="n">
        <v>1</v>
      </c>
      <c r="H81" s="36" t="n">
        <v>20</v>
      </c>
    </row>
    <row r="82" s="37" customFormat="true" ht="13.8" hidden="false" customHeight="false" outlineLevel="0" collapsed="false">
      <c r="A82" s="31" t="n">
        <v>92</v>
      </c>
      <c r="B82" s="32" t="s">
        <v>86</v>
      </c>
      <c r="C82" s="32" t="str">
        <f aca="false">"0047244"</f>
        <v>0047244</v>
      </c>
      <c r="D82" s="33" t="s">
        <v>87</v>
      </c>
      <c r="E82" s="32" t="n">
        <v>1974</v>
      </c>
      <c r="F82" s="34" t="n">
        <v>1230.44</v>
      </c>
      <c r="G82" s="35" t="n">
        <v>2</v>
      </c>
      <c r="H82" s="36" t="n">
        <v>80</v>
      </c>
    </row>
    <row r="83" s="37" customFormat="true" ht="13.8" hidden="false" customHeight="false" outlineLevel="0" collapsed="false">
      <c r="A83" s="25" t="n">
        <v>93</v>
      </c>
      <c r="B83" s="32" t="s">
        <v>86</v>
      </c>
      <c r="C83" s="32" t="str">
        <f aca="false">"0047376"</f>
        <v>0047376</v>
      </c>
      <c r="D83" s="33" t="s">
        <v>59</v>
      </c>
      <c r="E83" s="32" t="n">
        <v>1978</v>
      </c>
      <c r="F83" s="34" t="n">
        <v>1348.71</v>
      </c>
      <c r="G83" s="35" t="n">
        <v>2</v>
      </c>
      <c r="H83" s="36" t="n">
        <v>100</v>
      </c>
    </row>
    <row r="84" s="37" customFormat="true" ht="13.8" hidden="false" customHeight="false" outlineLevel="0" collapsed="false">
      <c r="A84" s="31" t="n">
        <v>94</v>
      </c>
      <c r="B84" s="32" t="s">
        <v>86</v>
      </c>
      <c r="C84" s="32" t="str">
        <f aca="false">"0047447"</f>
        <v>0047447</v>
      </c>
      <c r="D84" s="33" t="s">
        <v>88</v>
      </c>
      <c r="E84" s="32" t="n">
        <v>1991</v>
      </c>
      <c r="F84" s="34" t="n">
        <v>828.02</v>
      </c>
      <c r="G84" s="35" t="n">
        <v>1</v>
      </c>
      <c r="H84" s="36" t="n">
        <v>40</v>
      </c>
    </row>
    <row r="85" s="37" customFormat="true" ht="13.8" hidden="false" customHeight="false" outlineLevel="0" collapsed="false">
      <c r="A85" s="25" t="n">
        <v>95</v>
      </c>
      <c r="B85" s="32" t="s">
        <v>86</v>
      </c>
      <c r="C85" s="32" t="str">
        <f aca="false">"0047489"</f>
        <v>0047489</v>
      </c>
      <c r="D85" s="33" t="s">
        <v>89</v>
      </c>
      <c r="E85" s="32" t="n">
        <v>1980</v>
      </c>
      <c r="F85" s="34" t="n">
        <v>2307.28</v>
      </c>
      <c r="G85" s="35" t="n">
        <v>2</v>
      </c>
      <c r="H85" s="36" t="n">
        <v>180</v>
      </c>
    </row>
    <row r="86" s="37" customFormat="true" ht="13.8" hidden="false" customHeight="false" outlineLevel="0" collapsed="false">
      <c r="A86" s="31" t="n">
        <v>96</v>
      </c>
      <c r="B86" s="32" t="s">
        <v>86</v>
      </c>
      <c r="C86" s="32" t="str">
        <f aca="false">"0047756"</f>
        <v>0047756</v>
      </c>
      <c r="D86" s="33" t="s">
        <v>59</v>
      </c>
      <c r="E86" s="32" t="n">
        <v>1979</v>
      </c>
      <c r="F86" s="34" t="n">
        <v>908.62</v>
      </c>
      <c r="G86" s="35" t="n">
        <v>1</v>
      </c>
      <c r="H86" s="36" t="n">
        <v>30</v>
      </c>
    </row>
    <row r="87" s="37" customFormat="true" ht="13.8" hidden="false" customHeight="false" outlineLevel="0" collapsed="false">
      <c r="A87" s="25" t="n">
        <v>97</v>
      </c>
      <c r="B87" s="32" t="s">
        <v>86</v>
      </c>
      <c r="C87" s="32" t="str">
        <f aca="false">"0047760"</f>
        <v>0047760</v>
      </c>
      <c r="D87" s="33" t="s">
        <v>56</v>
      </c>
      <c r="E87" s="32" t="n">
        <v>1970</v>
      </c>
      <c r="F87" s="34" t="n">
        <v>1121.28</v>
      </c>
      <c r="G87" s="35" t="n">
        <v>5</v>
      </c>
      <c r="H87" s="36" t="n">
        <v>175</v>
      </c>
    </row>
    <row r="88" s="37" customFormat="true" ht="13.8" hidden="false" customHeight="false" outlineLevel="0" collapsed="false">
      <c r="A88" s="31" t="n">
        <v>98</v>
      </c>
      <c r="B88" s="32" t="s">
        <v>86</v>
      </c>
      <c r="C88" s="32" t="str">
        <f aca="false">"0047773"</f>
        <v>0047773</v>
      </c>
      <c r="D88" s="33" t="s">
        <v>90</v>
      </c>
      <c r="E88" s="32" t="n">
        <v>1970</v>
      </c>
      <c r="F88" s="34" t="n">
        <v>1050.89</v>
      </c>
      <c r="G88" s="35" t="n">
        <v>3</v>
      </c>
      <c r="H88" s="36" t="n">
        <v>90</v>
      </c>
    </row>
    <row r="89" s="37" customFormat="true" ht="13.8" hidden="false" customHeight="false" outlineLevel="0" collapsed="false">
      <c r="A89" s="25" t="n">
        <v>99</v>
      </c>
      <c r="B89" s="32" t="s">
        <v>86</v>
      </c>
      <c r="C89" s="32" t="str">
        <f aca="false">"0047967"</f>
        <v>0047967</v>
      </c>
      <c r="D89" s="33" t="s">
        <v>91</v>
      </c>
      <c r="E89" s="32" t="n">
        <v>1970</v>
      </c>
      <c r="F89" s="34" t="n">
        <v>700.23</v>
      </c>
      <c r="G89" s="35" t="n">
        <v>12</v>
      </c>
      <c r="H89" s="36" t="n">
        <v>240</v>
      </c>
    </row>
    <row r="90" s="37" customFormat="true" ht="13.8" hidden="false" customHeight="false" outlineLevel="0" collapsed="false">
      <c r="A90" s="31" t="n">
        <v>100</v>
      </c>
      <c r="B90" s="32" t="s">
        <v>86</v>
      </c>
      <c r="C90" s="32" t="str">
        <f aca="false">"0047992"</f>
        <v>0047992</v>
      </c>
      <c r="D90" s="33" t="s">
        <v>29</v>
      </c>
      <c r="E90" s="32" t="n">
        <v>1970</v>
      </c>
      <c r="F90" s="34" t="n">
        <v>262.62</v>
      </c>
      <c r="G90" s="35" t="n">
        <v>1</v>
      </c>
      <c r="H90" s="36" t="n">
        <v>10</v>
      </c>
    </row>
    <row r="91" s="37" customFormat="true" ht="13.8" hidden="false" customHeight="false" outlineLevel="0" collapsed="false">
      <c r="A91" s="25" t="n">
        <v>101</v>
      </c>
      <c r="B91" s="32" t="s">
        <v>86</v>
      </c>
      <c r="C91" s="32" t="str">
        <f aca="false">"0047997"</f>
        <v>0047997</v>
      </c>
      <c r="D91" s="33" t="s">
        <v>92</v>
      </c>
      <c r="E91" s="32" t="n">
        <v>1970</v>
      </c>
      <c r="F91" s="34" t="n">
        <v>721.21</v>
      </c>
      <c r="G91" s="35" t="n">
        <v>1</v>
      </c>
      <c r="H91" s="36" t="n">
        <v>20</v>
      </c>
    </row>
    <row r="92" s="37" customFormat="true" ht="13.8" hidden="false" customHeight="false" outlineLevel="0" collapsed="false">
      <c r="A92" s="31" t="n">
        <v>102</v>
      </c>
      <c r="B92" s="32" t="s">
        <v>86</v>
      </c>
      <c r="C92" s="32" t="str">
        <f aca="false">"0048003"</f>
        <v>0048003</v>
      </c>
      <c r="D92" s="33" t="s">
        <v>93</v>
      </c>
      <c r="E92" s="32" t="n">
        <v>1971</v>
      </c>
      <c r="F92" s="34" t="n">
        <v>144.9</v>
      </c>
      <c r="G92" s="35" t="n">
        <v>2</v>
      </c>
      <c r="H92" s="36" t="n">
        <v>10</v>
      </c>
    </row>
    <row r="93" s="37" customFormat="true" ht="13.8" hidden="false" customHeight="false" outlineLevel="0" collapsed="false">
      <c r="A93" s="25" t="n">
        <v>103</v>
      </c>
      <c r="B93" s="32" t="s">
        <v>86</v>
      </c>
      <c r="C93" s="32" t="str">
        <f aca="false">"0048036"</f>
        <v>0048036</v>
      </c>
      <c r="D93" s="33" t="s">
        <v>94</v>
      </c>
      <c r="E93" s="32" t="n">
        <v>1983</v>
      </c>
      <c r="F93" s="34" t="n">
        <v>1154.67</v>
      </c>
      <c r="G93" s="35" t="n">
        <v>2</v>
      </c>
      <c r="H93" s="36" t="n">
        <v>60</v>
      </c>
    </row>
    <row r="94" s="37" customFormat="true" ht="13.8" hidden="false" customHeight="false" outlineLevel="0" collapsed="false">
      <c r="A94" s="31" t="n">
        <v>104</v>
      </c>
      <c r="B94" s="32" t="s">
        <v>86</v>
      </c>
      <c r="C94" s="32" t="str">
        <f aca="false">"0048077"</f>
        <v>0048077</v>
      </c>
      <c r="D94" s="33" t="s">
        <v>95</v>
      </c>
      <c r="E94" s="32" t="n">
        <v>2002</v>
      </c>
      <c r="F94" s="34" t="n">
        <v>7040</v>
      </c>
      <c r="G94" s="35" t="n">
        <v>5</v>
      </c>
      <c r="H94" s="36" t="n">
        <v>2100</v>
      </c>
    </row>
    <row r="95" s="37" customFormat="true" ht="13.8" hidden="false" customHeight="false" outlineLevel="0" collapsed="false">
      <c r="A95" s="25" t="n">
        <v>105</v>
      </c>
      <c r="B95" s="32" t="s">
        <v>86</v>
      </c>
      <c r="C95" s="32" t="str">
        <f aca="false">"0048083"</f>
        <v>0048083</v>
      </c>
      <c r="D95" s="33" t="s">
        <v>96</v>
      </c>
      <c r="E95" s="32" t="n">
        <v>2002</v>
      </c>
      <c r="F95" s="34" t="n">
        <v>6000</v>
      </c>
      <c r="G95" s="35" t="n">
        <v>1</v>
      </c>
      <c r="H95" s="36" t="n">
        <v>360</v>
      </c>
    </row>
    <row r="96" s="37" customFormat="true" ht="13.8" hidden="false" customHeight="false" outlineLevel="0" collapsed="false">
      <c r="A96" s="31" t="n">
        <v>106</v>
      </c>
      <c r="B96" s="32" t="s">
        <v>86</v>
      </c>
      <c r="C96" s="32" t="str">
        <f aca="false">"0048140"</f>
        <v>0048140</v>
      </c>
      <c r="D96" s="33" t="s">
        <v>97</v>
      </c>
      <c r="E96" s="32" t="n">
        <v>1984</v>
      </c>
      <c r="F96" s="34" t="n">
        <v>6557.11</v>
      </c>
      <c r="G96" s="35" t="n">
        <v>2</v>
      </c>
      <c r="H96" s="36" t="n">
        <v>500</v>
      </c>
    </row>
    <row r="97" s="37" customFormat="true" ht="13.8" hidden="false" customHeight="false" outlineLevel="0" collapsed="false">
      <c r="A97" s="25" t="n">
        <v>107</v>
      </c>
      <c r="B97" s="32" t="s">
        <v>86</v>
      </c>
      <c r="C97" s="32" t="str">
        <f aca="false">"0048142"</f>
        <v>0048142</v>
      </c>
      <c r="D97" s="33" t="s">
        <v>57</v>
      </c>
      <c r="E97" s="32" t="n">
        <v>1984</v>
      </c>
      <c r="F97" s="34" t="n">
        <v>395.38</v>
      </c>
      <c r="G97" s="35" t="n">
        <v>1</v>
      </c>
      <c r="H97" s="36" t="n">
        <v>20</v>
      </c>
    </row>
    <row r="98" s="37" customFormat="true" ht="13.8" hidden="false" customHeight="false" outlineLevel="0" collapsed="false">
      <c r="A98" s="31" t="n">
        <v>108</v>
      </c>
      <c r="B98" s="32" t="s">
        <v>86</v>
      </c>
      <c r="C98" s="32" t="str">
        <f aca="false">"0048184"</f>
        <v>0048184</v>
      </c>
      <c r="D98" s="33" t="s">
        <v>93</v>
      </c>
      <c r="E98" s="32" t="n">
        <v>1971</v>
      </c>
      <c r="F98" s="34" t="n">
        <v>140.36</v>
      </c>
      <c r="G98" s="35" t="n">
        <v>1</v>
      </c>
      <c r="H98" s="36" t="n">
        <v>5</v>
      </c>
    </row>
    <row r="99" s="37" customFormat="true" ht="13.8" hidden="false" customHeight="false" outlineLevel="0" collapsed="false">
      <c r="A99" s="25" t="n">
        <v>109</v>
      </c>
      <c r="B99" s="32" t="s">
        <v>86</v>
      </c>
      <c r="C99" s="32" t="str">
        <f aca="false">"0048186"</f>
        <v>0048186</v>
      </c>
      <c r="D99" s="33" t="s">
        <v>41</v>
      </c>
      <c r="E99" s="32" t="n">
        <v>1971</v>
      </c>
      <c r="F99" s="34" t="n">
        <v>140.36</v>
      </c>
      <c r="G99" s="35" t="n">
        <v>17</v>
      </c>
      <c r="H99" s="36" t="n">
        <v>85</v>
      </c>
    </row>
    <row r="100" s="37" customFormat="true" ht="13.8" hidden="false" customHeight="false" outlineLevel="0" collapsed="false">
      <c r="A100" s="31" t="n">
        <v>110</v>
      </c>
      <c r="B100" s="32" t="s">
        <v>86</v>
      </c>
      <c r="C100" s="32" t="str">
        <f aca="false">"0048205"</f>
        <v>0048205</v>
      </c>
      <c r="D100" s="33" t="s">
        <v>98</v>
      </c>
      <c r="E100" s="32" t="n">
        <v>1971</v>
      </c>
      <c r="F100" s="34" t="n">
        <v>1613.54</v>
      </c>
      <c r="G100" s="35" t="n">
        <v>20</v>
      </c>
      <c r="H100" s="36" t="n">
        <v>600</v>
      </c>
    </row>
    <row r="101" s="37" customFormat="true" ht="13.8" hidden="false" customHeight="false" outlineLevel="0" collapsed="false">
      <c r="A101" s="25" t="n">
        <v>111</v>
      </c>
      <c r="B101" s="32" t="s">
        <v>86</v>
      </c>
      <c r="C101" s="32" t="str">
        <f aca="false">"0048212"</f>
        <v>0048212</v>
      </c>
      <c r="D101" s="33" t="s">
        <v>57</v>
      </c>
      <c r="E101" s="32" t="n">
        <v>1984</v>
      </c>
      <c r="F101" s="34" t="n">
        <v>790.9</v>
      </c>
      <c r="G101" s="35" t="n">
        <v>7</v>
      </c>
      <c r="H101" s="36" t="n">
        <v>210</v>
      </c>
    </row>
    <row r="102" s="37" customFormat="true" ht="13.8" hidden="false" customHeight="false" outlineLevel="0" collapsed="false">
      <c r="A102" s="31" t="n">
        <v>112</v>
      </c>
      <c r="B102" s="32" t="s">
        <v>86</v>
      </c>
      <c r="C102" s="32" t="str">
        <f aca="false">"0048220"</f>
        <v>0048220</v>
      </c>
      <c r="D102" s="33" t="s">
        <v>99</v>
      </c>
      <c r="E102" s="32" t="n">
        <v>1984</v>
      </c>
      <c r="F102" s="34" t="n">
        <v>355.91</v>
      </c>
      <c r="G102" s="35" t="n">
        <v>1</v>
      </c>
      <c r="H102" s="36" t="n">
        <v>15</v>
      </c>
    </row>
    <row r="103" s="37" customFormat="true" ht="13.8" hidden="false" customHeight="false" outlineLevel="0" collapsed="false">
      <c r="A103" s="25" t="n">
        <v>113</v>
      </c>
      <c r="B103" s="32" t="s">
        <v>86</v>
      </c>
      <c r="C103" s="32" t="str">
        <f aca="false">"0048287"</f>
        <v>0048287</v>
      </c>
      <c r="D103" s="33" t="s">
        <v>100</v>
      </c>
      <c r="E103" s="32" t="n">
        <v>2006</v>
      </c>
      <c r="F103" s="34" t="n">
        <v>3600</v>
      </c>
      <c r="G103" s="35" t="n">
        <v>1</v>
      </c>
      <c r="H103" s="36" t="n">
        <v>230</v>
      </c>
    </row>
    <row r="104" s="37" customFormat="true" ht="13.8" hidden="false" customHeight="false" outlineLevel="0" collapsed="false">
      <c r="A104" s="31" t="n">
        <v>114</v>
      </c>
      <c r="B104" s="32" t="s">
        <v>86</v>
      </c>
      <c r="C104" s="32" t="str">
        <f aca="false">"0048328"</f>
        <v>0048328</v>
      </c>
      <c r="D104" s="33" t="s">
        <v>57</v>
      </c>
      <c r="E104" s="32" t="n">
        <v>1971</v>
      </c>
      <c r="F104" s="34" t="n">
        <v>95.49</v>
      </c>
      <c r="G104" s="35" t="n">
        <v>1</v>
      </c>
      <c r="H104" s="36" t="n">
        <v>5</v>
      </c>
    </row>
    <row r="105" s="37" customFormat="true" ht="13.8" hidden="false" customHeight="false" outlineLevel="0" collapsed="false">
      <c r="A105" s="25" t="n">
        <v>115</v>
      </c>
      <c r="B105" s="32" t="s">
        <v>86</v>
      </c>
      <c r="C105" s="32" t="str">
        <f aca="false">"0048424"</f>
        <v>0048424</v>
      </c>
      <c r="D105" s="33" t="s">
        <v>101</v>
      </c>
      <c r="E105" s="32" t="n">
        <v>1971</v>
      </c>
      <c r="F105" s="34" t="n">
        <v>706.03</v>
      </c>
      <c r="G105" s="35" t="n">
        <v>4</v>
      </c>
      <c r="H105" s="36" t="n">
        <v>60</v>
      </c>
    </row>
    <row r="106" s="37" customFormat="true" ht="13.8" hidden="false" customHeight="false" outlineLevel="0" collapsed="false">
      <c r="A106" s="31" t="n">
        <v>116</v>
      </c>
      <c r="B106" s="32" t="s">
        <v>86</v>
      </c>
      <c r="C106" s="32" t="str">
        <f aca="false">"0048575"</f>
        <v>0048575</v>
      </c>
      <c r="D106" s="33" t="s">
        <v>102</v>
      </c>
      <c r="E106" s="32" t="n">
        <v>1986</v>
      </c>
      <c r="F106" s="34" t="n">
        <v>244.13</v>
      </c>
      <c r="G106" s="35" t="n">
        <v>10</v>
      </c>
      <c r="H106" s="36" t="n">
        <v>100</v>
      </c>
    </row>
    <row r="107" s="37" customFormat="true" ht="13.8" hidden="false" customHeight="false" outlineLevel="0" collapsed="false">
      <c r="A107" s="25" t="n">
        <v>117</v>
      </c>
      <c r="B107" s="32" t="s">
        <v>86</v>
      </c>
      <c r="C107" s="32" t="str">
        <f aca="false">"0048585"</f>
        <v>0048585</v>
      </c>
      <c r="D107" s="33" t="s">
        <v>103</v>
      </c>
      <c r="E107" s="32" t="n">
        <v>1986</v>
      </c>
      <c r="F107" s="34" t="n">
        <v>366.26</v>
      </c>
      <c r="G107" s="35" t="n">
        <v>10</v>
      </c>
      <c r="H107" s="36" t="n">
        <v>150</v>
      </c>
    </row>
    <row r="108" s="37" customFormat="true" ht="13.8" hidden="false" customHeight="false" outlineLevel="0" collapsed="false">
      <c r="A108" s="31" t="n">
        <v>118</v>
      </c>
      <c r="B108" s="32" t="s">
        <v>86</v>
      </c>
      <c r="C108" s="32" t="str">
        <f aca="false">"0048609"</f>
        <v>0048609</v>
      </c>
      <c r="D108" s="33" t="s">
        <v>104</v>
      </c>
      <c r="E108" s="32" t="n">
        <v>1987</v>
      </c>
      <c r="F108" s="34" t="n">
        <v>1087.61</v>
      </c>
      <c r="G108" s="35" t="n">
        <v>2</v>
      </c>
      <c r="H108" s="36" t="n">
        <v>60</v>
      </c>
    </row>
    <row r="109" s="37" customFormat="true" ht="13.8" hidden="false" customHeight="false" outlineLevel="0" collapsed="false">
      <c r="A109" s="25" t="n">
        <v>119</v>
      </c>
      <c r="B109" s="32" t="s">
        <v>86</v>
      </c>
      <c r="C109" s="32" t="str">
        <f aca="false">"0048611"</f>
        <v>0048611</v>
      </c>
      <c r="D109" s="33" t="s">
        <v>59</v>
      </c>
      <c r="E109" s="32" t="n">
        <v>1987</v>
      </c>
      <c r="F109" s="34" t="n">
        <v>1418.68</v>
      </c>
      <c r="G109" s="35" t="n">
        <v>2</v>
      </c>
      <c r="H109" s="36" t="n">
        <v>60</v>
      </c>
    </row>
    <row r="110" s="37" customFormat="true" ht="13.8" hidden="false" customHeight="false" outlineLevel="0" collapsed="false">
      <c r="A110" s="31" t="n">
        <v>120</v>
      </c>
      <c r="B110" s="32" t="s">
        <v>86</v>
      </c>
      <c r="C110" s="32" t="str">
        <f aca="false">"0048762"</f>
        <v>0048762</v>
      </c>
      <c r="D110" s="33" t="s">
        <v>105</v>
      </c>
      <c r="E110" s="32" t="n">
        <v>2002</v>
      </c>
      <c r="F110" s="34" t="n">
        <v>735</v>
      </c>
      <c r="G110" s="35" t="n">
        <v>1</v>
      </c>
      <c r="H110" s="36" t="n">
        <v>40</v>
      </c>
    </row>
    <row r="111" s="37" customFormat="true" ht="13.8" hidden="false" customHeight="false" outlineLevel="0" collapsed="false">
      <c r="A111" s="25" t="n">
        <v>121</v>
      </c>
      <c r="B111" s="32" t="s">
        <v>86</v>
      </c>
      <c r="C111" s="32" t="str">
        <f aca="false">"0048764"</f>
        <v>0048764</v>
      </c>
      <c r="D111" s="33" t="s">
        <v>106</v>
      </c>
      <c r="E111" s="32" t="n">
        <v>2005</v>
      </c>
      <c r="F111" s="34" t="n">
        <v>3770.49</v>
      </c>
      <c r="G111" s="35" t="n">
        <v>1</v>
      </c>
      <c r="H111" s="36" t="n">
        <v>240</v>
      </c>
    </row>
    <row r="112" s="37" customFormat="true" ht="13.8" hidden="false" customHeight="false" outlineLevel="0" collapsed="false">
      <c r="A112" s="31" t="n">
        <v>122</v>
      </c>
      <c r="B112" s="32" t="s">
        <v>86</v>
      </c>
      <c r="C112" s="32" t="str">
        <f aca="false">"0048854"</f>
        <v>0048854</v>
      </c>
      <c r="D112" s="33" t="s">
        <v>107</v>
      </c>
      <c r="E112" s="32" t="n">
        <v>1941</v>
      </c>
      <c r="F112" s="34" t="n">
        <f aca="false">3152.97*1.3</f>
        <v>4098.861</v>
      </c>
      <c r="G112" s="35" t="n">
        <v>1</v>
      </c>
      <c r="H112" s="36" t="n">
        <v>10</v>
      </c>
    </row>
    <row r="113" s="37" customFormat="true" ht="13.8" hidden="false" customHeight="false" outlineLevel="0" collapsed="false">
      <c r="A113" s="25" t="n">
        <v>123</v>
      </c>
      <c r="B113" s="32" t="s">
        <v>86</v>
      </c>
      <c r="C113" s="32" t="str">
        <f aca="false">"0048861"</f>
        <v>0048861</v>
      </c>
      <c r="D113" s="33" t="s">
        <v>57</v>
      </c>
      <c r="E113" s="32" t="n">
        <v>1959</v>
      </c>
      <c r="F113" s="34" t="n">
        <f aca="false">379.1*1.2</f>
        <v>454.92</v>
      </c>
      <c r="G113" s="35" t="n">
        <v>2</v>
      </c>
      <c r="H113" s="36" t="n">
        <v>20</v>
      </c>
    </row>
    <row r="114" s="37" customFormat="true" ht="13.8" hidden="false" customHeight="false" outlineLevel="0" collapsed="false">
      <c r="A114" s="31" t="n">
        <v>124</v>
      </c>
      <c r="B114" s="32" t="s">
        <v>86</v>
      </c>
      <c r="C114" s="32" t="str">
        <f aca="false">"0048863"</f>
        <v>0048863</v>
      </c>
      <c r="D114" s="33" t="s">
        <v>108</v>
      </c>
      <c r="E114" s="32" t="n">
        <v>1959</v>
      </c>
      <c r="F114" s="34" t="n">
        <f aca="false">282.63*1.2</f>
        <v>339.156</v>
      </c>
      <c r="G114" s="35" t="n">
        <v>1</v>
      </c>
      <c r="H114" s="36" t="n">
        <v>10</v>
      </c>
    </row>
    <row r="115" s="37" customFormat="true" ht="13.8" hidden="false" customHeight="false" outlineLevel="0" collapsed="false">
      <c r="A115" s="25" t="n">
        <v>125</v>
      </c>
      <c r="B115" s="32" t="s">
        <v>86</v>
      </c>
      <c r="C115" s="32" t="str">
        <f aca="false">"0048866"</f>
        <v>0048866</v>
      </c>
      <c r="D115" s="33" t="s">
        <v>29</v>
      </c>
      <c r="E115" s="32" t="n">
        <v>1959</v>
      </c>
      <c r="F115" s="34" t="n">
        <f aca="false">237.65*1.2</f>
        <v>285.18</v>
      </c>
      <c r="G115" s="35" t="n">
        <v>1</v>
      </c>
      <c r="H115" s="36" t="n">
        <v>10</v>
      </c>
    </row>
    <row r="116" s="37" customFormat="true" ht="13.8" hidden="false" customHeight="false" outlineLevel="0" collapsed="false">
      <c r="A116" s="31" t="n">
        <v>126</v>
      </c>
      <c r="B116" s="32" t="s">
        <v>86</v>
      </c>
      <c r="C116" s="32" t="str">
        <f aca="false">"0048868"</f>
        <v>0048868</v>
      </c>
      <c r="D116" s="33" t="s">
        <v>57</v>
      </c>
      <c r="E116" s="32" t="n">
        <v>1959</v>
      </c>
      <c r="F116" s="34" t="n">
        <f aca="false">395.24*1.2</f>
        <v>474.288</v>
      </c>
      <c r="G116" s="35" t="n">
        <v>1</v>
      </c>
      <c r="H116" s="36" t="n">
        <v>10</v>
      </c>
    </row>
    <row r="117" s="37" customFormat="true" ht="13.8" hidden="false" customHeight="false" outlineLevel="0" collapsed="false">
      <c r="A117" s="25" t="n">
        <v>127</v>
      </c>
      <c r="B117" s="32" t="s">
        <v>86</v>
      </c>
      <c r="C117" s="32" t="str">
        <f aca="false">"0048873"</f>
        <v>0048873</v>
      </c>
      <c r="D117" s="33" t="s">
        <v>109</v>
      </c>
      <c r="E117" s="32" t="n">
        <v>1960</v>
      </c>
      <c r="F117" s="34" t="n">
        <f aca="false">95.37*1.2</f>
        <v>114.444</v>
      </c>
      <c r="G117" s="35" t="n">
        <v>1</v>
      </c>
      <c r="H117" s="36" t="n">
        <v>5</v>
      </c>
    </row>
    <row r="118" s="37" customFormat="true" ht="13.8" hidden="false" customHeight="false" outlineLevel="0" collapsed="false">
      <c r="A118" s="31" t="n">
        <v>128</v>
      </c>
      <c r="B118" s="32" t="s">
        <v>86</v>
      </c>
      <c r="C118" s="32" t="str">
        <f aca="false">"0048896"</f>
        <v>0048896</v>
      </c>
      <c r="D118" s="33" t="s">
        <v>59</v>
      </c>
      <c r="E118" s="32" t="n">
        <v>1963</v>
      </c>
      <c r="F118" s="34" t="n">
        <f aca="false">422.29*1.2</f>
        <v>506.748</v>
      </c>
      <c r="G118" s="35" t="n">
        <v>1</v>
      </c>
      <c r="H118" s="36" t="n">
        <v>10</v>
      </c>
    </row>
    <row r="119" s="37" customFormat="true" ht="13.8" hidden="false" customHeight="false" outlineLevel="0" collapsed="false">
      <c r="A119" s="25" t="n">
        <v>129</v>
      </c>
      <c r="B119" s="32" t="s">
        <v>86</v>
      </c>
      <c r="C119" s="32" t="str">
        <f aca="false">"0048897"</f>
        <v>0048897</v>
      </c>
      <c r="D119" s="33" t="s">
        <v>59</v>
      </c>
      <c r="E119" s="32" t="n">
        <v>1964</v>
      </c>
      <c r="F119" s="34" t="n">
        <f aca="false">676.08*1.2</f>
        <v>811.296</v>
      </c>
      <c r="G119" s="35" t="n">
        <v>2</v>
      </c>
      <c r="H119" s="36" t="n">
        <v>20</v>
      </c>
    </row>
    <row r="120" s="37" customFormat="true" ht="13.8" hidden="false" customHeight="false" outlineLevel="0" collapsed="false">
      <c r="A120" s="31" t="n">
        <v>130</v>
      </c>
      <c r="B120" s="32" t="s">
        <v>86</v>
      </c>
      <c r="C120" s="32" t="str">
        <f aca="false">"0048908"</f>
        <v>0048908</v>
      </c>
      <c r="D120" s="33" t="s">
        <v>56</v>
      </c>
      <c r="E120" s="32" t="n">
        <v>1966</v>
      </c>
      <c r="F120" s="34" t="n">
        <f aca="false">957.06*1.2</f>
        <v>1148.472</v>
      </c>
      <c r="G120" s="35" t="n">
        <v>1</v>
      </c>
      <c r="H120" s="36" t="n">
        <v>30</v>
      </c>
    </row>
    <row r="121" s="37" customFormat="true" ht="13.8" hidden="false" customHeight="false" outlineLevel="0" collapsed="false">
      <c r="A121" s="25" t="n">
        <v>131</v>
      </c>
      <c r="B121" s="32" t="s">
        <v>86</v>
      </c>
      <c r="C121" s="32" t="str">
        <f aca="false">"0048911"</f>
        <v>0048911</v>
      </c>
      <c r="D121" s="33" t="s">
        <v>59</v>
      </c>
      <c r="E121" s="32" t="n">
        <v>1967</v>
      </c>
      <c r="F121" s="34" t="n">
        <f aca="false">504.69*1.2</f>
        <v>605.628</v>
      </c>
      <c r="G121" s="35" t="n">
        <v>1</v>
      </c>
      <c r="H121" s="36" t="n">
        <v>15</v>
      </c>
    </row>
    <row r="122" s="37" customFormat="true" ht="13.8" hidden="false" customHeight="false" outlineLevel="0" collapsed="false">
      <c r="A122" s="31" t="n">
        <v>132</v>
      </c>
      <c r="B122" s="32" t="s">
        <v>86</v>
      </c>
      <c r="C122" s="32" t="str">
        <f aca="false">"0048916"</f>
        <v>0048916</v>
      </c>
      <c r="D122" s="33" t="s">
        <v>59</v>
      </c>
      <c r="E122" s="32" t="n">
        <v>1968</v>
      </c>
      <c r="F122" s="34" t="n">
        <f aca="false">264.49*1.2</f>
        <v>317.388</v>
      </c>
      <c r="G122" s="35" t="n">
        <v>1</v>
      </c>
      <c r="H122" s="36" t="n">
        <v>10</v>
      </c>
    </row>
    <row r="123" s="37" customFormat="true" ht="13.8" hidden="false" customHeight="false" outlineLevel="0" collapsed="false">
      <c r="A123" s="25" t="n">
        <v>133</v>
      </c>
      <c r="B123" s="32" t="s">
        <v>86</v>
      </c>
      <c r="C123" s="32" t="str">
        <f aca="false">"0048940"</f>
        <v>0048940</v>
      </c>
      <c r="D123" s="33" t="s">
        <v>110</v>
      </c>
      <c r="E123" s="32" t="n">
        <v>2016</v>
      </c>
      <c r="F123" s="34" t="n">
        <v>1637.58</v>
      </c>
      <c r="G123" s="35" t="n">
        <v>2</v>
      </c>
      <c r="H123" s="36" t="n">
        <v>1200</v>
      </c>
    </row>
    <row r="124" s="37" customFormat="true" ht="13.8" hidden="false" customHeight="false" outlineLevel="0" collapsed="false">
      <c r="A124" s="31" t="n">
        <v>134</v>
      </c>
      <c r="B124" s="32" t="s">
        <v>86</v>
      </c>
      <c r="C124" s="32" t="str">
        <f aca="false">"0048977"</f>
        <v>0048977</v>
      </c>
      <c r="D124" s="33" t="s">
        <v>111</v>
      </c>
      <c r="E124" s="32" t="n">
        <v>1999</v>
      </c>
      <c r="F124" s="34" t="n">
        <v>11300</v>
      </c>
      <c r="G124" s="35" t="n">
        <v>1</v>
      </c>
      <c r="H124" s="36" t="n">
        <v>615</v>
      </c>
    </row>
    <row r="125" s="37" customFormat="true" ht="13.8" hidden="false" customHeight="false" outlineLevel="0" collapsed="false">
      <c r="A125" s="25" t="n">
        <v>135</v>
      </c>
      <c r="B125" s="32" t="s">
        <v>86</v>
      </c>
      <c r="C125" s="32" t="str">
        <f aca="false">"0048978"</f>
        <v>0048978</v>
      </c>
      <c r="D125" s="33" t="s">
        <v>112</v>
      </c>
      <c r="E125" s="32" t="n">
        <v>1999</v>
      </c>
      <c r="F125" s="34" t="n">
        <v>9650</v>
      </c>
      <c r="G125" s="35" t="n">
        <v>1</v>
      </c>
      <c r="H125" s="36" t="n">
        <v>570</v>
      </c>
    </row>
    <row r="126" s="37" customFormat="true" ht="13.8" hidden="false" customHeight="false" outlineLevel="0" collapsed="false">
      <c r="A126" s="31" t="n">
        <v>136</v>
      </c>
      <c r="B126" s="32" t="s">
        <v>86</v>
      </c>
      <c r="C126" s="32" t="str">
        <f aca="false">"0049004"</f>
        <v>0049004</v>
      </c>
      <c r="D126" s="33" t="s">
        <v>113</v>
      </c>
      <c r="E126" s="32" t="n">
        <v>1999</v>
      </c>
      <c r="F126" s="34" t="n">
        <v>140</v>
      </c>
      <c r="G126" s="35" t="n">
        <v>1</v>
      </c>
      <c r="H126" s="36" t="n">
        <v>5</v>
      </c>
    </row>
    <row r="127" s="37" customFormat="true" ht="13.8" hidden="false" customHeight="false" outlineLevel="0" collapsed="false">
      <c r="A127" s="25" t="n">
        <v>137</v>
      </c>
      <c r="B127" s="32" t="s">
        <v>86</v>
      </c>
      <c r="C127" s="32" t="str">
        <f aca="false">"0049053"</f>
        <v>0049053</v>
      </c>
      <c r="D127" s="33" t="s">
        <v>57</v>
      </c>
      <c r="E127" s="32" t="n">
        <v>1964</v>
      </c>
      <c r="F127" s="34" t="n">
        <f aca="false">338.04*1.2</f>
        <v>405.648</v>
      </c>
      <c r="G127" s="35" t="n">
        <v>1</v>
      </c>
      <c r="H127" s="36" t="n">
        <v>10</v>
      </c>
    </row>
    <row r="128" s="37" customFormat="true" ht="13.8" hidden="false" customHeight="false" outlineLevel="0" collapsed="false">
      <c r="A128" s="31" t="n">
        <v>138</v>
      </c>
      <c r="B128" s="32" t="s">
        <v>86</v>
      </c>
      <c r="C128" s="32" t="str">
        <f aca="false">"0049054"</f>
        <v>0049054</v>
      </c>
      <c r="D128" s="33" t="s">
        <v>57</v>
      </c>
      <c r="E128" s="32" t="n">
        <v>1965</v>
      </c>
      <c r="F128" s="34" t="n">
        <f aca="false">229.02*1.2</f>
        <v>274.824</v>
      </c>
      <c r="G128" s="35" t="n">
        <v>1</v>
      </c>
      <c r="H128" s="36" t="n">
        <v>10</v>
      </c>
    </row>
    <row r="129" s="37" customFormat="true" ht="13.8" hidden="false" customHeight="false" outlineLevel="0" collapsed="false">
      <c r="A129" s="25" t="n">
        <v>139</v>
      </c>
      <c r="B129" s="32" t="s">
        <v>86</v>
      </c>
      <c r="C129" s="32" t="str">
        <f aca="false">"0049055"</f>
        <v>0049055</v>
      </c>
      <c r="D129" s="33" t="s">
        <v>59</v>
      </c>
      <c r="E129" s="32" t="n">
        <v>1968</v>
      </c>
      <c r="F129" s="34" t="n">
        <f aca="false">264.48*1.2</f>
        <v>317.376</v>
      </c>
      <c r="G129" s="35" t="n">
        <v>1</v>
      </c>
      <c r="H129" s="36" t="n">
        <v>10</v>
      </c>
    </row>
    <row r="130" s="37" customFormat="true" ht="13.8" hidden="false" customHeight="false" outlineLevel="0" collapsed="false">
      <c r="A130" s="31" t="n">
        <v>140</v>
      </c>
      <c r="B130" s="32" t="s">
        <v>86</v>
      </c>
      <c r="C130" s="32" t="str">
        <f aca="false">"0049056"</f>
        <v>0049056</v>
      </c>
      <c r="D130" s="33" t="s">
        <v>101</v>
      </c>
      <c r="E130" s="32" t="n">
        <v>2004</v>
      </c>
      <c r="F130" s="34" t="n">
        <v>353.01</v>
      </c>
      <c r="G130" s="35" t="n">
        <v>1</v>
      </c>
      <c r="H130" s="36" t="n">
        <v>20</v>
      </c>
    </row>
    <row r="131" s="37" customFormat="true" ht="13.8" hidden="false" customHeight="false" outlineLevel="0" collapsed="false">
      <c r="A131" s="25" t="n">
        <v>141</v>
      </c>
      <c r="B131" s="32" t="s">
        <v>86</v>
      </c>
      <c r="C131" s="32" t="str">
        <f aca="false">"0049108"</f>
        <v>0049108</v>
      </c>
      <c r="D131" s="33" t="s">
        <v>114</v>
      </c>
      <c r="E131" s="32" t="n">
        <v>2006</v>
      </c>
      <c r="F131" s="34" t="n">
        <v>4022.48</v>
      </c>
      <c r="G131" s="35" t="n">
        <v>2</v>
      </c>
      <c r="H131" s="36" t="n">
        <v>480</v>
      </c>
    </row>
    <row r="132" s="37" customFormat="true" ht="13.8" hidden="false" customHeight="false" outlineLevel="0" collapsed="false">
      <c r="A132" s="31" t="n">
        <v>142</v>
      </c>
      <c r="B132" s="32" t="s">
        <v>86</v>
      </c>
      <c r="C132" s="32" t="str">
        <f aca="false">"0049111"</f>
        <v>0049111</v>
      </c>
      <c r="D132" s="33" t="s">
        <v>115</v>
      </c>
      <c r="E132" s="32" t="n">
        <v>2006</v>
      </c>
      <c r="F132" s="34" t="n">
        <v>4022.48</v>
      </c>
      <c r="G132" s="35" t="n">
        <v>3</v>
      </c>
      <c r="H132" s="36" t="n">
        <v>720</v>
      </c>
    </row>
    <row r="133" s="37" customFormat="true" ht="13.8" hidden="false" customHeight="false" outlineLevel="0" collapsed="false">
      <c r="A133" s="25" t="n">
        <v>143</v>
      </c>
      <c r="B133" s="32" t="s">
        <v>86</v>
      </c>
      <c r="C133" s="32" t="str">
        <f aca="false">"0049140"</f>
        <v>0049140</v>
      </c>
      <c r="D133" s="33" t="s">
        <v>28</v>
      </c>
      <c r="E133" s="32" t="n">
        <v>2007</v>
      </c>
      <c r="F133" s="34" t="n">
        <v>4159.2</v>
      </c>
      <c r="G133" s="35" t="n">
        <v>4</v>
      </c>
      <c r="H133" s="36" t="n">
        <v>1000</v>
      </c>
    </row>
    <row r="134" s="37" customFormat="true" ht="13.8" hidden="false" customHeight="false" outlineLevel="0" collapsed="false">
      <c r="A134" s="31" t="n">
        <v>144</v>
      </c>
      <c r="B134" s="32" t="s">
        <v>86</v>
      </c>
      <c r="C134" s="32" t="str">
        <f aca="false">"0049156"</f>
        <v>0049156</v>
      </c>
      <c r="D134" s="33" t="s">
        <v>116</v>
      </c>
      <c r="E134" s="32" t="n">
        <v>2007</v>
      </c>
      <c r="F134" s="34" t="n">
        <v>14775</v>
      </c>
      <c r="G134" s="35" t="n">
        <v>1</v>
      </c>
      <c r="H134" s="36" t="n">
        <v>380</v>
      </c>
    </row>
    <row r="135" s="37" customFormat="true" ht="13.8" hidden="false" customHeight="false" outlineLevel="0" collapsed="false">
      <c r="A135" s="25" t="n">
        <v>145</v>
      </c>
      <c r="B135" s="32" t="s">
        <v>86</v>
      </c>
      <c r="C135" s="32" t="str">
        <f aca="false">"0049167"</f>
        <v>0049167</v>
      </c>
      <c r="D135" s="33" t="s">
        <v>117</v>
      </c>
      <c r="E135" s="32" t="n">
        <v>2008</v>
      </c>
      <c r="F135" s="34" t="n">
        <v>101242.16</v>
      </c>
      <c r="G135" s="35" t="n">
        <v>1</v>
      </c>
      <c r="H135" s="36" t="n">
        <v>8430</v>
      </c>
    </row>
    <row r="136" s="37" customFormat="true" ht="13.8" hidden="false" customHeight="false" outlineLevel="0" collapsed="false">
      <c r="A136" s="31" t="n">
        <v>146</v>
      </c>
      <c r="B136" s="32" t="s">
        <v>118</v>
      </c>
      <c r="C136" s="32" t="str">
        <f aca="false">"0047129"</f>
        <v>0047129</v>
      </c>
      <c r="D136" s="33" t="s">
        <v>56</v>
      </c>
      <c r="E136" s="32" t="n">
        <v>1975</v>
      </c>
      <c r="F136" s="34" t="n">
        <v>3600.79</v>
      </c>
      <c r="G136" s="35" t="n">
        <v>1</v>
      </c>
      <c r="H136" s="36" t="n">
        <v>130</v>
      </c>
    </row>
    <row r="137" s="37" customFormat="true" ht="13.8" hidden="false" customHeight="false" outlineLevel="0" collapsed="false">
      <c r="A137" s="25" t="n">
        <v>147</v>
      </c>
      <c r="B137" s="32" t="s">
        <v>118</v>
      </c>
      <c r="C137" s="32" t="str">
        <f aca="false">"0047239"</f>
        <v>0047239</v>
      </c>
      <c r="D137" s="33" t="s">
        <v>42</v>
      </c>
      <c r="E137" s="32" t="n">
        <v>1976</v>
      </c>
      <c r="F137" s="34" t="n">
        <v>1031.72</v>
      </c>
      <c r="G137" s="35" t="n">
        <v>1</v>
      </c>
      <c r="H137" s="36" t="n">
        <v>30</v>
      </c>
    </row>
    <row r="138" s="37" customFormat="true" ht="13.8" hidden="false" customHeight="false" outlineLevel="0" collapsed="false">
      <c r="A138" s="31" t="n">
        <v>148</v>
      </c>
      <c r="B138" s="32" t="s">
        <v>118</v>
      </c>
      <c r="C138" s="32" t="str">
        <f aca="false">"0047371"</f>
        <v>0047371</v>
      </c>
      <c r="D138" s="33" t="s">
        <v>42</v>
      </c>
      <c r="E138" s="32" t="n">
        <v>1978</v>
      </c>
      <c r="F138" s="34" t="n">
        <v>968.79</v>
      </c>
      <c r="G138" s="35" t="n">
        <v>1</v>
      </c>
      <c r="H138" s="36" t="n">
        <v>30</v>
      </c>
    </row>
    <row r="139" s="37" customFormat="true" ht="13.8" hidden="false" customHeight="false" outlineLevel="0" collapsed="false">
      <c r="A139" s="25" t="n">
        <v>149</v>
      </c>
      <c r="B139" s="32" t="s">
        <v>118</v>
      </c>
      <c r="C139" s="32" t="str">
        <f aca="false">"0048211"</f>
        <v>0048211</v>
      </c>
      <c r="D139" s="33" t="s">
        <v>119</v>
      </c>
      <c r="E139" s="32" t="n">
        <v>1984</v>
      </c>
      <c r="F139" s="34" t="n">
        <v>355.91</v>
      </c>
      <c r="G139" s="35" t="n">
        <v>1</v>
      </c>
      <c r="H139" s="36" t="n">
        <v>20</v>
      </c>
    </row>
    <row r="140" s="37" customFormat="true" ht="13.8" hidden="false" customHeight="false" outlineLevel="0" collapsed="false">
      <c r="A140" s="31" t="n">
        <v>150</v>
      </c>
      <c r="B140" s="32" t="s">
        <v>118</v>
      </c>
      <c r="C140" s="32" t="str">
        <f aca="false">"0048420"</f>
        <v>0048420</v>
      </c>
      <c r="D140" s="33" t="s">
        <v>119</v>
      </c>
      <c r="E140" s="32" t="n">
        <v>1971</v>
      </c>
      <c r="F140" s="34" t="n">
        <v>95.49</v>
      </c>
      <c r="G140" s="35" t="n">
        <v>1</v>
      </c>
      <c r="H140" s="36" t="n">
        <v>5</v>
      </c>
    </row>
    <row r="141" s="37" customFormat="true" ht="13.8" hidden="false" customHeight="false" outlineLevel="0" collapsed="false">
      <c r="A141" s="25" t="n">
        <v>151</v>
      </c>
      <c r="B141" s="32" t="s">
        <v>118</v>
      </c>
      <c r="C141" s="32" t="str">
        <f aca="false">"0049050"</f>
        <v>0049050</v>
      </c>
      <c r="D141" s="33" t="s">
        <v>120</v>
      </c>
      <c r="E141" s="32" t="n">
        <v>1973</v>
      </c>
      <c r="F141" s="34" t="n">
        <v>251.92</v>
      </c>
      <c r="G141" s="35" t="n">
        <v>1</v>
      </c>
      <c r="H141" s="36" t="n">
        <v>10</v>
      </c>
    </row>
    <row r="142" s="37" customFormat="true" ht="13.8" hidden="false" customHeight="false" outlineLevel="0" collapsed="false">
      <c r="A142" s="31" t="n">
        <v>152</v>
      </c>
      <c r="B142" s="32" t="s">
        <v>118</v>
      </c>
      <c r="C142" s="32" t="str">
        <f aca="false">"0049169"</f>
        <v>0049169</v>
      </c>
      <c r="D142" s="33" t="s">
        <v>121</v>
      </c>
      <c r="E142" s="32" t="n">
        <v>2008</v>
      </c>
      <c r="F142" s="34" t="n">
        <v>2079.55</v>
      </c>
      <c r="G142" s="35" t="n">
        <v>1</v>
      </c>
      <c r="H142" s="36" t="n">
        <v>250</v>
      </c>
    </row>
    <row r="143" s="37" customFormat="true" ht="13.8" hidden="false" customHeight="false" outlineLevel="0" collapsed="false">
      <c r="A143" s="25" t="n">
        <v>153</v>
      </c>
      <c r="B143" s="32" t="s">
        <v>118</v>
      </c>
      <c r="C143" s="32" t="str">
        <f aca="false">"0049611"</f>
        <v>0049611</v>
      </c>
      <c r="D143" s="33" t="s">
        <v>122</v>
      </c>
      <c r="E143" s="32" t="n">
        <v>2018</v>
      </c>
      <c r="F143" s="34" t="n">
        <v>1559.55</v>
      </c>
      <c r="G143" s="35" t="n">
        <v>1</v>
      </c>
      <c r="H143" s="36" t="n">
        <v>890</v>
      </c>
    </row>
    <row r="144" s="37" customFormat="true" ht="13.8" hidden="false" customHeight="false" outlineLevel="0" collapsed="false">
      <c r="A144" s="31" t="n">
        <v>154</v>
      </c>
      <c r="B144" s="32" t="s">
        <v>118</v>
      </c>
      <c r="C144" s="32" t="s">
        <v>25</v>
      </c>
      <c r="D144" s="33" t="s">
        <v>123</v>
      </c>
      <c r="E144" s="32" t="n">
        <v>2007</v>
      </c>
      <c r="F144" s="34" t="n">
        <v>200</v>
      </c>
      <c r="G144" s="35" t="n">
        <v>2</v>
      </c>
      <c r="H144" s="36" t="n">
        <v>40</v>
      </c>
    </row>
    <row r="145" s="37" customFormat="true" ht="13.8" hidden="false" customHeight="false" outlineLevel="0" collapsed="false">
      <c r="A145" s="25" t="n">
        <v>155</v>
      </c>
      <c r="B145" s="32" t="s">
        <v>118</v>
      </c>
      <c r="C145" s="32" t="s">
        <v>25</v>
      </c>
      <c r="D145" s="33" t="s">
        <v>124</v>
      </c>
      <c r="E145" s="32" t="n">
        <v>2007</v>
      </c>
      <c r="F145" s="34" t="n">
        <v>250</v>
      </c>
      <c r="G145" s="35" t="n">
        <v>2</v>
      </c>
      <c r="H145" s="36" t="n">
        <v>40</v>
      </c>
    </row>
    <row r="146" s="37" customFormat="true" ht="13.8" hidden="false" customHeight="false" outlineLevel="0" collapsed="false">
      <c r="A146" s="31" t="n">
        <v>156</v>
      </c>
      <c r="B146" s="32" t="s">
        <v>118</v>
      </c>
      <c r="C146" s="32" t="s">
        <v>25</v>
      </c>
      <c r="D146" s="33" t="s">
        <v>125</v>
      </c>
      <c r="E146" s="32" t="n">
        <v>2007</v>
      </c>
      <c r="F146" s="34" t="n">
        <v>450</v>
      </c>
      <c r="G146" s="35" t="n">
        <v>2</v>
      </c>
      <c r="H146" s="36" t="n">
        <v>80</v>
      </c>
    </row>
    <row r="147" s="37" customFormat="true" ht="13.8" hidden="false" customHeight="false" outlineLevel="0" collapsed="false">
      <c r="A147" s="25" t="n">
        <v>157</v>
      </c>
      <c r="B147" s="32" t="s">
        <v>118</v>
      </c>
      <c r="C147" s="32" t="s">
        <v>25</v>
      </c>
      <c r="D147" s="33" t="s">
        <v>32</v>
      </c>
      <c r="E147" s="32" t="n">
        <v>2007</v>
      </c>
      <c r="F147" s="34" t="n">
        <v>120</v>
      </c>
      <c r="G147" s="35" t="n">
        <v>6</v>
      </c>
      <c r="H147" s="36" t="n">
        <v>60</v>
      </c>
    </row>
    <row r="148" s="37" customFormat="true" ht="13.8" hidden="false" customHeight="false" outlineLevel="0" collapsed="false">
      <c r="A148" s="31" t="n">
        <v>158</v>
      </c>
      <c r="B148" s="32" t="s">
        <v>118</v>
      </c>
      <c r="C148" s="32" t="s">
        <v>25</v>
      </c>
      <c r="D148" s="33" t="s">
        <v>109</v>
      </c>
      <c r="E148" s="32" t="n">
        <v>2007</v>
      </c>
      <c r="F148" s="34" t="n">
        <v>170</v>
      </c>
      <c r="G148" s="35" t="n">
        <v>1</v>
      </c>
      <c r="H148" s="36" t="n">
        <v>10</v>
      </c>
    </row>
    <row r="149" s="37" customFormat="true" ht="13.8" hidden="false" customHeight="false" outlineLevel="0" collapsed="false">
      <c r="A149" s="25" t="n">
        <v>159</v>
      </c>
      <c r="B149" s="32" t="s">
        <v>118</v>
      </c>
      <c r="C149" s="32" t="s">
        <v>25</v>
      </c>
      <c r="D149" s="33" t="s">
        <v>126</v>
      </c>
      <c r="E149" s="32" t="n">
        <v>2007</v>
      </c>
      <c r="F149" s="34" t="n">
        <v>280</v>
      </c>
      <c r="G149" s="35" t="n">
        <v>1</v>
      </c>
      <c r="H149" s="36" t="n">
        <v>20</v>
      </c>
    </row>
    <row r="150" s="37" customFormat="true" ht="13.8" hidden="false" customHeight="false" outlineLevel="0" collapsed="false">
      <c r="A150" s="31" t="n">
        <v>160</v>
      </c>
      <c r="B150" s="32" t="s">
        <v>118</v>
      </c>
      <c r="C150" s="32" t="s">
        <v>25</v>
      </c>
      <c r="D150" s="33" t="s">
        <v>127</v>
      </c>
      <c r="E150" s="32" t="n">
        <v>2007</v>
      </c>
      <c r="F150" s="34" t="n">
        <v>4680</v>
      </c>
      <c r="G150" s="35" t="n">
        <v>1</v>
      </c>
      <c r="H150" s="36" t="n">
        <v>290</v>
      </c>
    </row>
    <row r="151" s="37" customFormat="true" ht="13.8" hidden="false" customHeight="false" outlineLevel="0" collapsed="false">
      <c r="A151" s="25" t="n">
        <v>161</v>
      </c>
      <c r="B151" s="32" t="s">
        <v>118</v>
      </c>
      <c r="C151" s="32" t="s">
        <v>25</v>
      </c>
      <c r="D151" s="33" t="s">
        <v>128</v>
      </c>
      <c r="E151" s="32" t="n">
        <v>2013</v>
      </c>
      <c r="F151" s="34" t="n">
        <v>1650</v>
      </c>
      <c r="G151" s="35" t="n">
        <v>3</v>
      </c>
      <c r="H151" s="36" t="n">
        <v>510</v>
      </c>
    </row>
    <row r="152" s="37" customFormat="true" ht="13.8" hidden="false" customHeight="false" outlineLevel="0" collapsed="false">
      <c r="A152" s="31" t="n">
        <v>162</v>
      </c>
      <c r="B152" s="32" t="s">
        <v>118</v>
      </c>
      <c r="C152" s="32" t="s">
        <v>25</v>
      </c>
      <c r="D152" s="33" t="s">
        <v>129</v>
      </c>
      <c r="E152" s="32" t="n">
        <v>2013</v>
      </c>
      <c r="F152" s="34" t="n">
        <v>2350</v>
      </c>
      <c r="G152" s="35" t="n">
        <v>3</v>
      </c>
      <c r="H152" s="36" t="n">
        <v>1560</v>
      </c>
    </row>
    <row r="153" s="37" customFormat="true" ht="13.8" hidden="false" customHeight="false" outlineLevel="0" collapsed="false">
      <c r="A153" s="25" t="n">
        <v>163</v>
      </c>
      <c r="B153" s="32" t="s">
        <v>118</v>
      </c>
      <c r="C153" s="32" t="s">
        <v>25</v>
      </c>
      <c r="D153" s="33" t="s">
        <v>130</v>
      </c>
      <c r="E153" s="32" t="n">
        <v>2013</v>
      </c>
      <c r="F153" s="34" t="n">
        <v>850</v>
      </c>
      <c r="G153" s="35" t="n">
        <v>1</v>
      </c>
      <c r="H153" s="36" t="n">
        <v>190</v>
      </c>
    </row>
    <row r="154" s="37" customFormat="true" ht="13.8" hidden="false" customHeight="false" outlineLevel="0" collapsed="false">
      <c r="A154" s="31" t="n">
        <v>164</v>
      </c>
      <c r="B154" s="32" t="s">
        <v>118</v>
      </c>
      <c r="C154" s="32" t="s">
        <v>25</v>
      </c>
      <c r="D154" s="33" t="s">
        <v>131</v>
      </c>
      <c r="E154" s="32" t="n">
        <v>2013</v>
      </c>
      <c r="F154" s="34" t="n">
        <v>2500</v>
      </c>
      <c r="G154" s="35" t="n">
        <v>1</v>
      </c>
      <c r="H154" s="36" t="n">
        <v>560</v>
      </c>
    </row>
    <row r="155" s="37" customFormat="true" ht="13.8" hidden="false" customHeight="false" outlineLevel="0" collapsed="false">
      <c r="A155" s="25" t="n">
        <v>165</v>
      </c>
      <c r="B155" s="32" t="s">
        <v>118</v>
      </c>
      <c r="C155" s="32" t="s">
        <v>25</v>
      </c>
      <c r="D155" s="33" t="s">
        <v>132</v>
      </c>
      <c r="E155" s="32" t="n">
        <v>2013</v>
      </c>
      <c r="F155" s="34" t="n">
        <v>1800</v>
      </c>
      <c r="G155" s="35" t="n">
        <v>2</v>
      </c>
      <c r="H155" s="36" t="n">
        <v>800</v>
      </c>
    </row>
    <row r="156" s="37" customFormat="true" ht="13.8" hidden="false" customHeight="false" outlineLevel="0" collapsed="false">
      <c r="A156" s="31" t="n">
        <v>166</v>
      </c>
      <c r="B156" s="32" t="s">
        <v>133</v>
      </c>
      <c r="C156" s="32" t="str">
        <f aca="false">"0047338"</f>
        <v>0047338</v>
      </c>
      <c r="D156" s="33" t="s">
        <v>119</v>
      </c>
      <c r="E156" s="32" t="n">
        <v>1977</v>
      </c>
      <c r="F156" s="34" t="n">
        <v>746.6</v>
      </c>
      <c r="G156" s="35" t="n">
        <v>1</v>
      </c>
      <c r="H156" s="36" t="n">
        <v>30</v>
      </c>
    </row>
    <row r="157" s="37" customFormat="true" ht="13.8" hidden="false" customHeight="false" outlineLevel="0" collapsed="false">
      <c r="A157" s="25" t="n">
        <v>167</v>
      </c>
      <c r="B157" s="32" t="s">
        <v>133</v>
      </c>
      <c r="C157" s="32" t="str">
        <f aca="false">"0047903"</f>
        <v>0047903</v>
      </c>
      <c r="D157" s="33" t="s">
        <v>134</v>
      </c>
      <c r="E157" s="32" t="n">
        <v>1984</v>
      </c>
      <c r="F157" s="34" t="n">
        <v>677.46</v>
      </c>
      <c r="G157" s="35" t="n">
        <v>1</v>
      </c>
      <c r="H157" s="36" t="n">
        <v>30</v>
      </c>
    </row>
    <row r="158" s="37" customFormat="true" ht="13.8" hidden="false" customHeight="false" outlineLevel="0" collapsed="false">
      <c r="A158" s="31" t="n">
        <v>168</v>
      </c>
      <c r="B158" s="32" t="s">
        <v>133</v>
      </c>
      <c r="C158" s="32" t="str">
        <f aca="false">"0047918"</f>
        <v>0047918</v>
      </c>
      <c r="D158" s="33" t="s">
        <v>38</v>
      </c>
      <c r="E158" s="32" t="n">
        <v>1984</v>
      </c>
      <c r="F158" s="34" t="n">
        <v>598.8</v>
      </c>
      <c r="G158" s="35" t="n">
        <v>2</v>
      </c>
      <c r="H158" s="36" t="n">
        <v>50</v>
      </c>
    </row>
    <row r="159" s="37" customFormat="true" ht="13.8" hidden="false" customHeight="false" outlineLevel="0" collapsed="false">
      <c r="A159" s="25" t="n">
        <v>169</v>
      </c>
      <c r="B159" s="32" t="s">
        <v>133</v>
      </c>
      <c r="C159" s="32" t="str">
        <f aca="false">"0048018"</f>
        <v>0048018</v>
      </c>
      <c r="D159" s="33" t="s">
        <v>57</v>
      </c>
      <c r="E159" s="32" t="n">
        <v>1984</v>
      </c>
      <c r="F159" s="34" t="n">
        <v>484.25</v>
      </c>
      <c r="G159" s="35" t="n">
        <v>1</v>
      </c>
      <c r="H159" s="36" t="n">
        <v>20</v>
      </c>
    </row>
    <row r="160" s="37" customFormat="true" ht="13.8" hidden="false" customHeight="false" outlineLevel="0" collapsed="false">
      <c r="A160" s="31" t="n">
        <v>170</v>
      </c>
      <c r="B160" s="32" t="s">
        <v>133</v>
      </c>
      <c r="C160" s="32" t="str">
        <f aca="false">"0048223"</f>
        <v>0048223</v>
      </c>
      <c r="D160" s="33" t="s">
        <v>135</v>
      </c>
      <c r="E160" s="32" t="n">
        <v>1984</v>
      </c>
      <c r="F160" s="34" t="n">
        <v>3163.6</v>
      </c>
      <c r="G160" s="35" t="n">
        <v>1</v>
      </c>
      <c r="H160" s="36" t="n">
        <v>140</v>
      </c>
    </row>
    <row r="161" s="37" customFormat="true" ht="13.8" hidden="false" customHeight="false" outlineLevel="0" collapsed="false">
      <c r="A161" s="25" t="n">
        <v>171</v>
      </c>
      <c r="B161" s="32" t="s">
        <v>133</v>
      </c>
      <c r="C161" s="32" t="str">
        <f aca="false">"0048474"</f>
        <v>0048474</v>
      </c>
      <c r="D161" s="33" t="s">
        <v>136</v>
      </c>
      <c r="E161" s="32" t="n">
        <v>1986</v>
      </c>
      <c r="F161" s="34" t="n">
        <v>170.85</v>
      </c>
      <c r="G161" s="35" t="n">
        <v>1</v>
      </c>
      <c r="H161" s="36" t="n">
        <v>5</v>
      </c>
    </row>
    <row r="162" s="37" customFormat="true" ht="13.8" hidden="false" customHeight="false" outlineLevel="0" collapsed="false">
      <c r="A162" s="31" t="n">
        <v>172</v>
      </c>
      <c r="B162" s="32" t="s">
        <v>133</v>
      </c>
      <c r="C162" s="32" t="str">
        <f aca="false">"0048808"</f>
        <v>0048808</v>
      </c>
      <c r="D162" s="33" t="s">
        <v>137</v>
      </c>
      <c r="E162" s="32" t="n">
        <v>2009</v>
      </c>
      <c r="F162" s="34" t="n">
        <f aca="false">6444*1.05</f>
        <v>6766.2</v>
      </c>
      <c r="G162" s="35" t="n">
        <v>1</v>
      </c>
      <c r="H162" s="36" t="n">
        <v>630</v>
      </c>
    </row>
    <row r="163" s="37" customFormat="true" ht="13.8" hidden="false" customHeight="false" outlineLevel="0" collapsed="false">
      <c r="A163" s="25" t="n">
        <v>173</v>
      </c>
      <c r="B163" s="32" t="s">
        <v>133</v>
      </c>
      <c r="C163" s="32" t="str">
        <f aca="false">"0048871"</f>
        <v>0048871</v>
      </c>
      <c r="D163" s="33" t="s">
        <v>119</v>
      </c>
      <c r="E163" s="32" t="n">
        <v>1960</v>
      </c>
      <c r="F163" s="34" t="n">
        <f aca="false">692.5*1.2</f>
        <v>831</v>
      </c>
      <c r="G163" s="35" t="n">
        <v>1</v>
      </c>
      <c r="H163" s="36" t="n">
        <v>15</v>
      </c>
    </row>
    <row r="164" s="37" customFormat="true" ht="13.8" hidden="false" customHeight="false" outlineLevel="0" collapsed="false">
      <c r="A164" s="31" t="n">
        <v>174</v>
      </c>
      <c r="B164" s="32" t="s">
        <v>133</v>
      </c>
      <c r="C164" s="32" t="str">
        <f aca="false">"0048994"</f>
        <v>0048994</v>
      </c>
      <c r="D164" s="33" t="s">
        <v>138</v>
      </c>
      <c r="E164" s="32" t="n">
        <v>1999</v>
      </c>
      <c r="F164" s="34" t="n">
        <v>860</v>
      </c>
      <c r="G164" s="35" t="n">
        <v>1</v>
      </c>
      <c r="H164" s="36" t="n">
        <v>50</v>
      </c>
    </row>
    <row r="165" s="37" customFormat="true" ht="13.8" hidden="false" customHeight="false" outlineLevel="0" collapsed="false">
      <c r="A165" s="25" t="n">
        <v>175</v>
      </c>
      <c r="B165" s="32" t="s">
        <v>133</v>
      </c>
      <c r="C165" s="32" t="str">
        <f aca="false">"0048995"</f>
        <v>0048995</v>
      </c>
      <c r="D165" s="33" t="s">
        <v>139</v>
      </c>
      <c r="E165" s="32" t="n">
        <v>1999</v>
      </c>
      <c r="F165" s="34" t="n">
        <v>1000</v>
      </c>
      <c r="G165" s="35" t="n">
        <v>1</v>
      </c>
      <c r="H165" s="36" t="n">
        <v>60</v>
      </c>
    </row>
    <row r="166" s="37" customFormat="true" ht="13.8" hidden="false" customHeight="false" outlineLevel="0" collapsed="false">
      <c r="A166" s="31" t="n">
        <v>176</v>
      </c>
      <c r="B166" s="32" t="s">
        <v>133</v>
      </c>
      <c r="C166" s="32" t="str">
        <f aca="false">"0049120"</f>
        <v>0049120</v>
      </c>
      <c r="D166" s="33" t="s">
        <v>140</v>
      </c>
      <c r="E166" s="32" t="n">
        <v>2006</v>
      </c>
      <c r="F166" s="34" t="n">
        <v>8091.25</v>
      </c>
      <c r="G166" s="35" t="n">
        <v>1</v>
      </c>
      <c r="H166" s="36" t="n">
        <v>670</v>
      </c>
    </row>
    <row r="167" s="37" customFormat="true" ht="13.8" hidden="false" customHeight="false" outlineLevel="0" collapsed="false">
      <c r="A167" s="25" t="n">
        <v>177</v>
      </c>
      <c r="B167" s="32" t="s">
        <v>133</v>
      </c>
      <c r="C167" s="32" t="str">
        <f aca="false">"0049603"</f>
        <v>0049603</v>
      </c>
      <c r="D167" s="33" t="s">
        <v>122</v>
      </c>
      <c r="E167" s="32" t="n">
        <v>2018</v>
      </c>
      <c r="F167" s="34" t="n">
        <v>1559.55</v>
      </c>
      <c r="G167" s="35" t="n">
        <v>3</v>
      </c>
      <c r="H167" s="36" t="n">
        <v>2670</v>
      </c>
    </row>
    <row r="168" s="37" customFormat="true" ht="13.8" hidden="false" customHeight="false" outlineLevel="0" collapsed="false">
      <c r="A168" s="31" t="n">
        <v>178</v>
      </c>
      <c r="B168" s="32" t="s">
        <v>133</v>
      </c>
      <c r="C168" s="32" t="str">
        <f aca="false">"0038422"</f>
        <v>0038422</v>
      </c>
      <c r="D168" s="33" t="s">
        <v>141</v>
      </c>
      <c r="E168" s="32" t="n">
        <v>2008</v>
      </c>
      <c r="F168" s="34" t="n">
        <v>500</v>
      </c>
      <c r="G168" s="35" t="n">
        <v>1</v>
      </c>
      <c r="H168" s="36" t="n">
        <v>30</v>
      </c>
    </row>
    <row r="169" s="37" customFormat="true" ht="13.8" hidden="false" customHeight="false" outlineLevel="0" collapsed="false">
      <c r="A169" s="25" t="n">
        <v>179</v>
      </c>
      <c r="B169" s="32" t="s">
        <v>133</v>
      </c>
      <c r="C169" s="32" t="s">
        <v>25</v>
      </c>
      <c r="D169" s="33" t="s">
        <v>142</v>
      </c>
      <c r="E169" s="32" t="n">
        <v>2013</v>
      </c>
      <c r="F169" s="34" t="n">
        <v>1850</v>
      </c>
      <c r="G169" s="35" t="n">
        <v>1</v>
      </c>
      <c r="H169" s="36" t="n">
        <v>190</v>
      </c>
    </row>
    <row r="170" s="37" customFormat="true" ht="13.8" hidden="false" customHeight="false" outlineLevel="0" collapsed="false">
      <c r="A170" s="31" t="n">
        <v>180</v>
      </c>
      <c r="B170" s="32" t="s">
        <v>133</v>
      </c>
      <c r="C170" s="32" t="s">
        <v>25</v>
      </c>
      <c r="D170" s="33" t="s">
        <v>143</v>
      </c>
      <c r="E170" s="32" t="n">
        <v>2013</v>
      </c>
      <c r="F170" s="34" t="n">
        <v>2100</v>
      </c>
      <c r="G170" s="35" t="n">
        <v>1</v>
      </c>
      <c r="H170" s="36" t="n">
        <v>215</v>
      </c>
    </row>
    <row r="171" s="37" customFormat="true" ht="13.8" hidden="false" customHeight="false" outlineLevel="0" collapsed="false">
      <c r="A171" s="25" t="n">
        <v>181</v>
      </c>
      <c r="B171" s="32" t="s">
        <v>133</v>
      </c>
      <c r="C171" s="32" t="s">
        <v>25</v>
      </c>
      <c r="D171" s="33" t="s">
        <v>144</v>
      </c>
      <c r="E171" s="32" t="n">
        <v>2013</v>
      </c>
      <c r="F171" s="34" t="n">
        <v>3600</v>
      </c>
      <c r="G171" s="35" t="n">
        <v>1</v>
      </c>
      <c r="H171" s="36" t="n">
        <v>720</v>
      </c>
    </row>
    <row r="172" s="37" customFormat="true" ht="13.8" hidden="false" customHeight="false" outlineLevel="0" collapsed="false">
      <c r="A172" s="31" t="n">
        <v>182</v>
      </c>
      <c r="B172" s="32" t="s">
        <v>133</v>
      </c>
      <c r="C172" s="32" t="s">
        <v>25</v>
      </c>
      <c r="D172" s="33" t="s">
        <v>127</v>
      </c>
      <c r="E172" s="32" t="n">
        <v>2013</v>
      </c>
      <c r="F172" s="34" t="n">
        <v>4680</v>
      </c>
      <c r="G172" s="35" t="n">
        <v>1</v>
      </c>
      <c r="H172" s="36" t="n">
        <v>480</v>
      </c>
    </row>
    <row r="173" s="37" customFormat="true" ht="13.8" hidden="false" customHeight="false" outlineLevel="0" collapsed="false">
      <c r="A173" s="25" t="n">
        <v>183</v>
      </c>
      <c r="B173" s="32" t="s">
        <v>133</v>
      </c>
      <c r="C173" s="32" t="s">
        <v>25</v>
      </c>
      <c r="D173" s="33" t="s">
        <v>145</v>
      </c>
      <c r="E173" s="32" t="n">
        <v>2013</v>
      </c>
      <c r="F173" s="34" t="n">
        <v>2250</v>
      </c>
      <c r="G173" s="35" t="n">
        <v>1</v>
      </c>
      <c r="H173" s="36" t="n">
        <v>230</v>
      </c>
    </row>
    <row r="174" s="37" customFormat="true" ht="13.8" hidden="false" customHeight="false" outlineLevel="0" collapsed="false">
      <c r="A174" s="31" t="n">
        <v>184</v>
      </c>
      <c r="B174" s="32" t="s">
        <v>133</v>
      </c>
      <c r="C174" s="32" t="s">
        <v>25</v>
      </c>
      <c r="D174" s="33" t="s">
        <v>146</v>
      </c>
      <c r="E174" s="32" t="n">
        <v>2013</v>
      </c>
      <c r="F174" s="34" t="n">
        <v>3250</v>
      </c>
      <c r="G174" s="35" t="n">
        <v>1</v>
      </c>
      <c r="H174" s="36" t="n">
        <v>650</v>
      </c>
    </row>
    <row r="175" s="37" customFormat="true" ht="13.8" hidden="false" customHeight="false" outlineLevel="0" collapsed="false">
      <c r="A175" s="25" t="n">
        <v>185</v>
      </c>
      <c r="B175" s="32" t="s">
        <v>133</v>
      </c>
      <c r="C175" s="32" t="s">
        <v>25</v>
      </c>
      <c r="D175" s="33" t="s">
        <v>32</v>
      </c>
      <c r="E175" s="32" t="n">
        <v>1986</v>
      </c>
      <c r="F175" s="34" t="n">
        <v>120</v>
      </c>
      <c r="G175" s="35" t="n">
        <v>3</v>
      </c>
      <c r="H175" s="36" t="n">
        <v>15</v>
      </c>
    </row>
    <row r="176" s="37" customFormat="true" ht="13.8" hidden="false" customHeight="false" outlineLevel="0" collapsed="false">
      <c r="A176" s="31" t="n">
        <v>186</v>
      </c>
      <c r="B176" s="32" t="s">
        <v>133</v>
      </c>
      <c r="C176" s="32" t="s">
        <v>25</v>
      </c>
      <c r="D176" s="33" t="s">
        <v>29</v>
      </c>
      <c r="E176" s="32" t="n">
        <v>1986</v>
      </c>
      <c r="F176" s="34" t="n">
        <v>950</v>
      </c>
      <c r="G176" s="35" t="n">
        <v>1</v>
      </c>
      <c r="H176" s="36" t="n">
        <v>40</v>
      </c>
    </row>
    <row r="177" s="37" customFormat="true" ht="13.8" hidden="false" customHeight="false" outlineLevel="0" collapsed="false">
      <c r="A177" s="25" t="n">
        <v>187</v>
      </c>
      <c r="B177" s="32" t="s">
        <v>133</v>
      </c>
      <c r="C177" s="32" t="s">
        <v>25</v>
      </c>
      <c r="D177" s="33" t="s">
        <v>147</v>
      </c>
      <c r="E177" s="32" t="n">
        <v>2013</v>
      </c>
      <c r="F177" s="34" t="n">
        <v>1860</v>
      </c>
      <c r="G177" s="35" t="n">
        <v>1</v>
      </c>
      <c r="H177" s="36" t="n">
        <v>190</v>
      </c>
    </row>
    <row r="178" s="37" customFormat="true" ht="13.8" hidden="false" customHeight="false" outlineLevel="0" collapsed="false">
      <c r="A178" s="31" t="n">
        <v>188</v>
      </c>
      <c r="B178" s="32" t="s">
        <v>133</v>
      </c>
      <c r="C178" s="32" t="s">
        <v>25</v>
      </c>
      <c r="D178" s="33" t="s">
        <v>148</v>
      </c>
      <c r="E178" s="32" t="n">
        <v>1986</v>
      </c>
      <c r="F178" s="34" t="n">
        <v>380</v>
      </c>
      <c r="G178" s="35" t="n">
        <v>1</v>
      </c>
      <c r="H178" s="36" t="n">
        <v>15</v>
      </c>
    </row>
    <row r="179" s="37" customFormat="true" ht="14.25" hidden="false" customHeight="true" outlineLevel="0" collapsed="false">
      <c r="A179" s="31" t="n">
        <v>190</v>
      </c>
      <c r="B179" s="32" t="s">
        <v>149</v>
      </c>
      <c r="C179" s="32" t="s">
        <v>25</v>
      </c>
      <c r="D179" s="33" t="s">
        <v>150</v>
      </c>
      <c r="E179" s="32" t="n">
        <v>1986</v>
      </c>
      <c r="F179" s="34" t="n">
        <v>960</v>
      </c>
      <c r="G179" s="35" t="n">
        <v>1</v>
      </c>
      <c r="H179" s="36" t="n">
        <v>45</v>
      </c>
    </row>
    <row r="180" s="37" customFormat="true" ht="14.25" hidden="false" customHeight="true" outlineLevel="0" collapsed="false">
      <c r="A180" s="25" t="n">
        <v>191</v>
      </c>
      <c r="B180" s="32" t="s">
        <v>149</v>
      </c>
      <c r="C180" s="32" t="s">
        <v>25</v>
      </c>
      <c r="D180" s="33" t="s">
        <v>151</v>
      </c>
      <c r="E180" s="32" t="n">
        <v>1986</v>
      </c>
      <c r="F180" s="34" t="n">
        <v>570</v>
      </c>
      <c r="G180" s="35" t="n">
        <v>1</v>
      </c>
      <c r="H180" s="36" t="n">
        <v>30</v>
      </c>
    </row>
    <row r="181" s="37" customFormat="true" ht="14.25" hidden="false" customHeight="true" outlineLevel="0" collapsed="false">
      <c r="A181" s="31" t="n">
        <v>192</v>
      </c>
      <c r="B181" s="32" t="s">
        <v>149</v>
      </c>
      <c r="C181" s="32" t="s">
        <v>25</v>
      </c>
      <c r="D181" s="33" t="s">
        <v>152</v>
      </c>
      <c r="E181" s="32" t="n">
        <v>1986</v>
      </c>
      <c r="F181" s="34" t="n">
        <v>200</v>
      </c>
      <c r="G181" s="35" t="n">
        <v>1</v>
      </c>
      <c r="H181" s="36" t="n">
        <v>10</v>
      </c>
    </row>
    <row r="182" s="37" customFormat="true" ht="14.25" hidden="false" customHeight="true" outlineLevel="0" collapsed="false">
      <c r="A182" s="25" t="n">
        <v>193</v>
      </c>
      <c r="B182" s="32" t="s">
        <v>149</v>
      </c>
      <c r="C182" s="32" t="s">
        <v>25</v>
      </c>
      <c r="D182" s="33" t="s">
        <v>153</v>
      </c>
      <c r="E182" s="32" t="n">
        <v>1986</v>
      </c>
      <c r="F182" s="34" t="n">
        <v>300</v>
      </c>
      <c r="G182" s="35" t="n">
        <v>2</v>
      </c>
      <c r="H182" s="36" t="n">
        <v>30</v>
      </c>
    </row>
    <row r="183" s="37" customFormat="true" ht="14.25" hidden="false" customHeight="true" outlineLevel="0" collapsed="false">
      <c r="A183" s="31" t="n">
        <v>194</v>
      </c>
      <c r="B183" s="32" t="s">
        <v>149</v>
      </c>
      <c r="C183" s="32" t="s">
        <v>25</v>
      </c>
      <c r="D183" s="33" t="s">
        <v>32</v>
      </c>
      <c r="E183" s="32" t="n">
        <v>1986</v>
      </c>
      <c r="F183" s="34" t="n">
        <v>120</v>
      </c>
      <c r="G183" s="35" t="n">
        <v>8</v>
      </c>
      <c r="H183" s="36" t="n">
        <v>40</v>
      </c>
    </row>
    <row r="184" s="37" customFormat="true" ht="14.25" hidden="false" customHeight="true" outlineLevel="0" collapsed="false">
      <c r="A184" s="25" t="n">
        <v>195</v>
      </c>
      <c r="B184" s="32" t="s">
        <v>149</v>
      </c>
      <c r="C184" s="32" t="s">
        <v>25</v>
      </c>
      <c r="D184" s="33" t="s">
        <v>127</v>
      </c>
      <c r="E184" s="32" t="n">
        <v>2013</v>
      </c>
      <c r="F184" s="34" t="n">
        <v>4680</v>
      </c>
      <c r="G184" s="35" t="n">
        <v>1</v>
      </c>
      <c r="H184" s="36" t="n">
        <v>480</v>
      </c>
    </row>
    <row r="185" s="37" customFormat="true" ht="13.8" hidden="false" customHeight="false" outlineLevel="0" collapsed="false">
      <c r="A185" s="31" t="n">
        <v>196</v>
      </c>
      <c r="B185" s="32" t="s">
        <v>23</v>
      </c>
      <c r="C185" s="32" t="str">
        <f aca="false">"0873080"</f>
        <v>0873080</v>
      </c>
      <c r="D185" s="33" t="s">
        <v>154</v>
      </c>
      <c r="E185" s="32" t="n">
        <v>1990</v>
      </c>
      <c r="F185" s="34" t="n">
        <v>276.01</v>
      </c>
      <c r="G185" s="35" t="n">
        <v>9</v>
      </c>
      <c r="H185" s="36" t="n">
        <v>135</v>
      </c>
    </row>
    <row r="186" s="37" customFormat="true" ht="13.8" hidden="false" customHeight="false" outlineLevel="0" collapsed="false">
      <c r="A186" s="25" t="n">
        <v>197</v>
      </c>
      <c r="B186" s="32" t="s">
        <v>23</v>
      </c>
      <c r="C186" s="32" t="str">
        <f aca="false">"0855286"</f>
        <v>0855286</v>
      </c>
      <c r="D186" s="33" t="s">
        <v>155</v>
      </c>
      <c r="E186" s="32" t="n">
        <v>1977</v>
      </c>
      <c r="F186" s="34" t="n">
        <v>8962.23</v>
      </c>
      <c r="G186" s="35" t="n">
        <v>1</v>
      </c>
      <c r="H186" s="36" t="n">
        <v>320</v>
      </c>
    </row>
    <row r="187" s="37" customFormat="true" ht="13.8" hidden="false" customHeight="false" outlineLevel="0" collapsed="false">
      <c r="A187" s="31" t="n">
        <v>198</v>
      </c>
      <c r="B187" s="32" t="s">
        <v>23</v>
      </c>
      <c r="C187" s="32" t="str">
        <f aca="false">"0855294"</f>
        <v>0855294</v>
      </c>
      <c r="D187" s="33" t="s">
        <v>156</v>
      </c>
      <c r="E187" s="32" t="n">
        <v>1980</v>
      </c>
      <c r="F187" s="34" t="n">
        <v>5810.51</v>
      </c>
      <c r="G187" s="35" t="n">
        <v>1</v>
      </c>
      <c r="H187" s="36" t="n">
        <v>225</v>
      </c>
    </row>
    <row r="188" s="37" customFormat="true" ht="13.8" hidden="false" customHeight="false" outlineLevel="0" collapsed="false">
      <c r="A188" s="25" t="n">
        <v>199</v>
      </c>
      <c r="B188" s="32" t="s">
        <v>23</v>
      </c>
      <c r="C188" s="32" t="str">
        <f aca="false">"0855324"</f>
        <v>0855324</v>
      </c>
      <c r="D188" s="33" t="s">
        <v>156</v>
      </c>
      <c r="E188" s="32" t="n">
        <v>1987</v>
      </c>
      <c r="F188" s="34" t="n">
        <v>3310.16</v>
      </c>
      <c r="G188" s="35" t="n">
        <v>1</v>
      </c>
      <c r="H188" s="36" t="n">
        <v>150</v>
      </c>
    </row>
    <row r="189" s="37" customFormat="true" ht="13.8" hidden="false" customHeight="false" outlineLevel="0" collapsed="false">
      <c r="A189" s="31" t="n">
        <v>200</v>
      </c>
      <c r="B189" s="32" t="s">
        <v>23</v>
      </c>
      <c r="C189" s="32" t="str">
        <f aca="false">"0865940"</f>
        <v>0865940</v>
      </c>
      <c r="D189" s="33" t="s">
        <v>57</v>
      </c>
      <c r="E189" s="32" t="n">
        <v>1976</v>
      </c>
      <c r="F189" s="34" t="n">
        <v>1181.31</v>
      </c>
      <c r="G189" s="35" t="n">
        <v>6</v>
      </c>
      <c r="H189" s="36" t="n">
        <v>240</v>
      </c>
    </row>
    <row r="190" s="37" customFormat="true" ht="13.8" hidden="false" customHeight="false" outlineLevel="0" collapsed="false">
      <c r="A190" s="25" t="n">
        <v>201</v>
      </c>
      <c r="B190" s="32" t="s">
        <v>23</v>
      </c>
      <c r="C190" s="32" t="str">
        <f aca="false">"0866326"</f>
        <v>0866326</v>
      </c>
      <c r="D190" s="33" t="s">
        <v>59</v>
      </c>
      <c r="E190" s="32" t="n">
        <v>1977</v>
      </c>
      <c r="F190" s="34" t="n">
        <v>1236.65</v>
      </c>
      <c r="G190" s="35" t="n">
        <v>1</v>
      </c>
      <c r="H190" s="36" t="n">
        <v>40</v>
      </c>
    </row>
    <row r="191" s="37" customFormat="true" ht="13.8" hidden="false" customHeight="false" outlineLevel="0" collapsed="false">
      <c r="A191" s="31" t="n">
        <v>202</v>
      </c>
      <c r="B191" s="32" t="s">
        <v>23</v>
      </c>
      <c r="C191" s="32" t="str">
        <f aca="false">"0866369"</f>
        <v>0866369</v>
      </c>
      <c r="D191" s="33" t="s">
        <v>119</v>
      </c>
      <c r="E191" s="32" t="n">
        <v>1977</v>
      </c>
      <c r="F191" s="34" t="n">
        <v>863.35</v>
      </c>
      <c r="G191" s="35" t="n">
        <v>2</v>
      </c>
      <c r="H191" s="36" t="n">
        <v>60</v>
      </c>
    </row>
    <row r="192" s="37" customFormat="true" ht="13.8" hidden="false" customHeight="false" outlineLevel="0" collapsed="false">
      <c r="A192" s="25" t="n">
        <v>203</v>
      </c>
      <c r="B192" s="32" t="s">
        <v>23</v>
      </c>
      <c r="C192" s="32" t="str">
        <f aca="false">"0866733"</f>
        <v>0866733</v>
      </c>
      <c r="D192" s="33" t="s">
        <v>59</v>
      </c>
      <c r="E192" s="32" t="n">
        <v>1978</v>
      </c>
      <c r="F192" s="34" t="n">
        <v>1265.5</v>
      </c>
      <c r="G192" s="35" t="n">
        <v>3</v>
      </c>
      <c r="H192" s="36" t="n">
        <v>150</v>
      </c>
    </row>
    <row r="193" s="37" customFormat="true" ht="13.8" hidden="false" customHeight="false" outlineLevel="0" collapsed="false">
      <c r="A193" s="31" t="n">
        <v>204</v>
      </c>
      <c r="B193" s="32" t="s">
        <v>23</v>
      </c>
      <c r="C193" s="32" t="str">
        <f aca="false">"0866806"</f>
        <v>0866806</v>
      </c>
      <c r="D193" s="33" t="s">
        <v>42</v>
      </c>
      <c r="E193" s="32" t="n">
        <v>1978</v>
      </c>
      <c r="F193" s="34" t="n">
        <v>848.44</v>
      </c>
      <c r="G193" s="35" t="n">
        <v>1</v>
      </c>
      <c r="H193" s="36" t="n">
        <v>30</v>
      </c>
    </row>
    <row r="194" s="37" customFormat="true" ht="13.8" hidden="false" customHeight="false" outlineLevel="0" collapsed="false">
      <c r="A194" s="25" t="n">
        <v>205</v>
      </c>
      <c r="B194" s="32" t="s">
        <v>23</v>
      </c>
      <c r="C194" s="32" t="str">
        <f aca="false">"0866814"</f>
        <v>0866814</v>
      </c>
      <c r="D194" s="33" t="s">
        <v>59</v>
      </c>
      <c r="E194" s="32" t="n">
        <v>1978</v>
      </c>
      <c r="F194" s="34" t="n">
        <v>1226.16</v>
      </c>
      <c r="G194" s="35" t="n">
        <v>3</v>
      </c>
      <c r="H194" s="36" t="n">
        <v>150</v>
      </c>
    </row>
    <row r="195" s="37" customFormat="true" ht="13.8" hidden="false" customHeight="false" outlineLevel="0" collapsed="false">
      <c r="A195" s="31" t="n">
        <v>206</v>
      </c>
      <c r="B195" s="32" t="s">
        <v>23</v>
      </c>
      <c r="C195" s="32" t="str">
        <f aca="false">"0873179"</f>
        <v>0873179</v>
      </c>
      <c r="D195" s="33" t="s">
        <v>154</v>
      </c>
      <c r="E195" s="32" t="n">
        <v>1990</v>
      </c>
      <c r="F195" s="34" t="n">
        <v>276.01</v>
      </c>
      <c r="G195" s="35" t="n">
        <v>3</v>
      </c>
      <c r="H195" s="36" t="n">
        <v>45</v>
      </c>
    </row>
    <row r="196" s="37" customFormat="true" ht="13.8" hidden="false" customHeight="false" outlineLevel="0" collapsed="false">
      <c r="A196" s="25" t="n">
        <v>207</v>
      </c>
      <c r="B196" s="32" t="s">
        <v>23</v>
      </c>
      <c r="C196" s="32" t="str">
        <f aca="false">"0873217"</f>
        <v>0873217</v>
      </c>
      <c r="D196" s="33" t="s">
        <v>157</v>
      </c>
      <c r="E196" s="32" t="n">
        <v>1990</v>
      </c>
      <c r="F196" s="34" t="n">
        <v>276.01</v>
      </c>
      <c r="G196" s="35" t="n">
        <v>3</v>
      </c>
      <c r="H196" s="36" t="n">
        <v>45</v>
      </c>
    </row>
    <row r="197" s="37" customFormat="true" ht="13.8" hidden="false" customHeight="false" outlineLevel="0" collapsed="false">
      <c r="A197" s="31" t="n">
        <v>208</v>
      </c>
      <c r="B197" s="32" t="s">
        <v>23</v>
      </c>
      <c r="C197" s="32" t="str">
        <f aca="false">"0856878"</f>
        <v>0856878</v>
      </c>
      <c r="D197" s="33" t="s">
        <v>158</v>
      </c>
      <c r="E197" s="32" t="n">
        <v>1978</v>
      </c>
      <c r="F197" s="34" t="n">
        <f aca="false">26300*7.5*1.25</f>
        <v>246562.5</v>
      </c>
      <c r="G197" s="35" t="n">
        <v>1</v>
      </c>
      <c r="H197" s="36" t="n">
        <v>10100</v>
      </c>
    </row>
    <row r="198" s="37" customFormat="true" ht="13.8" hidden="false" customHeight="false" outlineLevel="0" collapsed="false">
      <c r="A198" s="31" t="n">
        <v>210</v>
      </c>
      <c r="B198" s="32" t="s">
        <v>23</v>
      </c>
      <c r="C198" s="32" t="str">
        <f aca="false">"0857637"</f>
        <v>0857637</v>
      </c>
      <c r="D198" s="33" t="s">
        <v>159</v>
      </c>
      <c r="E198" s="32" t="n">
        <v>1989</v>
      </c>
      <c r="F198" s="34" t="n">
        <f aca="false">635428.26</f>
        <v>635428.26</v>
      </c>
      <c r="G198" s="35" t="n">
        <v>1</v>
      </c>
      <c r="H198" s="38" t="s">
        <v>160</v>
      </c>
    </row>
    <row r="199" s="37" customFormat="true" ht="13.8" hidden="false" customHeight="false" outlineLevel="0" collapsed="false">
      <c r="A199" s="25" t="n">
        <v>211</v>
      </c>
      <c r="B199" s="32" t="s">
        <v>23</v>
      </c>
      <c r="C199" s="32" t="str">
        <f aca="false">"0863408"</f>
        <v>0863408</v>
      </c>
      <c r="D199" s="33" t="s">
        <v>59</v>
      </c>
      <c r="E199" s="32" t="n">
        <v>1970</v>
      </c>
      <c r="F199" s="34" t="n">
        <v>1050.89</v>
      </c>
      <c r="G199" s="35" t="n">
        <v>3</v>
      </c>
      <c r="H199" s="36" t="n">
        <v>90</v>
      </c>
    </row>
    <row r="200" s="37" customFormat="true" ht="13.8" hidden="false" customHeight="false" outlineLevel="0" collapsed="false">
      <c r="A200" s="31" t="n">
        <v>212</v>
      </c>
      <c r="B200" s="32" t="s">
        <v>23</v>
      </c>
      <c r="C200" s="32" t="str">
        <f aca="false">"0868663"</f>
        <v>0868663</v>
      </c>
      <c r="D200" s="33" t="s">
        <v>161</v>
      </c>
      <c r="E200" s="32" t="n">
        <v>1984</v>
      </c>
      <c r="F200" s="34" t="n">
        <v>2036.39</v>
      </c>
      <c r="G200" s="35" t="n">
        <v>7</v>
      </c>
      <c r="H200" s="36" t="n">
        <v>630</v>
      </c>
    </row>
    <row r="201" s="37" customFormat="true" ht="13.8" hidden="false" customHeight="false" outlineLevel="0" collapsed="false">
      <c r="A201" s="25" t="n">
        <v>213</v>
      </c>
      <c r="B201" s="32" t="s">
        <v>23</v>
      </c>
      <c r="C201" s="32" t="str">
        <f aca="false">"0868752"</f>
        <v>0868752</v>
      </c>
      <c r="D201" s="33" t="s">
        <v>162</v>
      </c>
      <c r="E201" s="32" t="n">
        <v>1984</v>
      </c>
      <c r="F201" s="34" t="n">
        <v>2036.39</v>
      </c>
      <c r="G201" s="35" t="n">
        <v>14</v>
      </c>
      <c r="H201" s="36" t="n">
        <v>1260</v>
      </c>
    </row>
    <row r="202" s="37" customFormat="true" ht="13.8" hidden="false" customHeight="false" outlineLevel="0" collapsed="false">
      <c r="A202" s="31" t="n">
        <v>214</v>
      </c>
      <c r="B202" s="32" t="s">
        <v>23</v>
      </c>
      <c r="C202" s="32" t="str">
        <f aca="false">"0868892"</f>
        <v>0868892</v>
      </c>
      <c r="D202" s="33" t="s">
        <v>57</v>
      </c>
      <c r="E202" s="32" t="n">
        <v>1984</v>
      </c>
      <c r="F202" s="34" t="n">
        <v>160.92</v>
      </c>
      <c r="G202" s="35" t="n">
        <v>1</v>
      </c>
      <c r="H202" s="36" t="n">
        <v>10</v>
      </c>
    </row>
    <row r="203" s="37" customFormat="true" ht="13.8" hidden="false" customHeight="false" outlineLevel="0" collapsed="false">
      <c r="A203" s="25" t="n">
        <v>215</v>
      </c>
      <c r="B203" s="32" t="s">
        <v>23</v>
      </c>
      <c r="C203" s="32" t="str">
        <f aca="false">"0868906"</f>
        <v>0868906</v>
      </c>
      <c r="D203" s="33" t="s">
        <v>57</v>
      </c>
      <c r="E203" s="32" t="n">
        <v>1984</v>
      </c>
      <c r="F203" s="34" t="n">
        <v>632.06</v>
      </c>
      <c r="G203" s="35" t="n">
        <v>1</v>
      </c>
      <c r="H203" s="36" t="n">
        <v>25</v>
      </c>
    </row>
    <row r="204" s="37" customFormat="true" ht="13.8" hidden="false" customHeight="false" outlineLevel="0" collapsed="false">
      <c r="A204" s="31" t="n">
        <v>216</v>
      </c>
      <c r="B204" s="32" t="s">
        <v>23</v>
      </c>
      <c r="C204" s="32" t="str">
        <f aca="false">"0869007"</f>
        <v>0869007</v>
      </c>
      <c r="D204" s="33" t="s">
        <v>57</v>
      </c>
      <c r="E204" s="32" t="n">
        <v>1984</v>
      </c>
      <c r="F204" s="34" t="n">
        <v>488.94</v>
      </c>
      <c r="G204" s="35" t="n">
        <v>1</v>
      </c>
      <c r="H204" s="36" t="n">
        <v>25</v>
      </c>
    </row>
    <row r="205" s="37" customFormat="true" ht="13.8" hidden="false" customHeight="false" outlineLevel="0" collapsed="false">
      <c r="A205" s="25" t="n">
        <v>217</v>
      </c>
      <c r="B205" s="32" t="s">
        <v>23</v>
      </c>
      <c r="C205" s="32" t="str">
        <f aca="false">"0863491"</f>
        <v>0863491</v>
      </c>
      <c r="D205" s="33" t="s">
        <v>91</v>
      </c>
      <c r="E205" s="32" t="n">
        <v>1970</v>
      </c>
      <c r="F205" s="34" t="n">
        <v>700.23</v>
      </c>
      <c r="G205" s="35" t="n">
        <v>1</v>
      </c>
      <c r="H205" s="36" t="n">
        <v>25</v>
      </c>
    </row>
    <row r="206" s="37" customFormat="true" ht="13.8" hidden="false" customHeight="false" outlineLevel="0" collapsed="false">
      <c r="A206" s="31" t="n">
        <v>218</v>
      </c>
      <c r="B206" s="32" t="s">
        <v>23</v>
      </c>
      <c r="C206" s="32" t="str">
        <f aca="false">"0869619"</f>
        <v>0869619</v>
      </c>
      <c r="D206" s="33" t="s">
        <v>163</v>
      </c>
      <c r="E206" s="32" t="n">
        <v>1984</v>
      </c>
      <c r="F206" s="34" t="n">
        <v>163.81</v>
      </c>
      <c r="G206" s="35" t="n">
        <v>1</v>
      </c>
      <c r="H206" s="36" t="n">
        <v>10</v>
      </c>
    </row>
    <row r="207" s="37" customFormat="true" ht="13.8" hidden="false" customHeight="false" outlineLevel="0" collapsed="false">
      <c r="A207" s="31" t="n">
        <v>220</v>
      </c>
      <c r="B207" s="32" t="s">
        <v>23</v>
      </c>
      <c r="C207" s="32" t="str">
        <f aca="false">"0870072"</f>
        <v>0870072</v>
      </c>
      <c r="D207" s="33" t="s">
        <v>57</v>
      </c>
      <c r="E207" s="32" t="n">
        <v>1984</v>
      </c>
      <c r="F207" s="34" t="n">
        <v>1162.68</v>
      </c>
      <c r="G207" s="35" t="n">
        <v>2</v>
      </c>
      <c r="H207" s="36" t="n">
        <v>100</v>
      </c>
    </row>
    <row r="208" s="37" customFormat="true" ht="13.8" hidden="false" customHeight="false" outlineLevel="0" collapsed="false">
      <c r="A208" s="25" t="n">
        <v>221</v>
      </c>
      <c r="B208" s="32" t="s">
        <v>23</v>
      </c>
      <c r="C208" s="32" t="str">
        <f aca="false">"0870153"</f>
        <v>0870153</v>
      </c>
      <c r="D208" s="33" t="s">
        <v>164</v>
      </c>
      <c r="E208" s="32" t="n">
        <v>1984</v>
      </c>
      <c r="F208" s="34" t="n">
        <v>751.29</v>
      </c>
      <c r="G208" s="35" t="n">
        <v>1</v>
      </c>
      <c r="H208" s="36" t="n">
        <v>30</v>
      </c>
    </row>
    <row r="209" s="37" customFormat="true" ht="13.8" hidden="false" customHeight="false" outlineLevel="0" collapsed="false">
      <c r="A209" s="31" t="n">
        <v>222</v>
      </c>
      <c r="B209" s="32" t="s">
        <v>23</v>
      </c>
      <c r="C209" s="32" t="str">
        <f aca="false">"0870170"</f>
        <v>0870170</v>
      </c>
      <c r="D209" s="33" t="s">
        <v>119</v>
      </c>
      <c r="E209" s="32" t="n">
        <v>1984</v>
      </c>
      <c r="F209" s="34" t="n">
        <v>474.53</v>
      </c>
      <c r="G209" s="35" t="n">
        <v>2</v>
      </c>
      <c r="H209" s="36" t="n">
        <v>40</v>
      </c>
    </row>
    <row r="210" s="37" customFormat="true" ht="13.8" hidden="false" customHeight="false" outlineLevel="0" collapsed="false">
      <c r="A210" s="25" t="n">
        <v>223</v>
      </c>
      <c r="B210" s="32" t="s">
        <v>23</v>
      </c>
      <c r="C210" s="32" t="str">
        <f aca="false">"0870196"</f>
        <v>0870196</v>
      </c>
      <c r="D210" s="33" t="s">
        <v>57</v>
      </c>
      <c r="E210" s="32" t="n">
        <v>1984</v>
      </c>
      <c r="F210" s="34" t="n">
        <v>581.34</v>
      </c>
      <c r="G210" s="35" t="n">
        <v>1</v>
      </c>
      <c r="H210" s="36" t="n">
        <v>25</v>
      </c>
    </row>
    <row r="211" s="37" customFormat="true" ht="13.8" hidden="false" customHeight="false" outlineLevel="0" collapsed="false">
      <c r="A211" s="31" t="n">
        <v>224</v>
      </c>
      <c r="B211" s="32" t="s">
        <v>23</v>
      </c>
      <c r="C211" s="32" t="str">
        <f aca="false">"0864315"</f>
        <v>0864315</v>
      </c>
      <c r="D211" s="33" t="s">
        <v>59</v>
      </c>
      <c r="E211" s="32" t="n">
        <v>1971</v>
      </c>
      <c r="F211" s="34" t="n">
        <v>913.86</v>
      </c>
      <c r="G211" s="35" t="n">
        <v>1</v>
      </c>
      <c r="H211" s="36" t="n">
        <v>30</v>
      </c>
    </row>
    <row r="212" s="37" customFormat="true" ht="13.8" hidden="false" customHeight="false" outlineLevel="0" collapsed="false">
      <c r="A212" s="25" t="n">
        <v>225</v>
      </c>
      <c r="B212" s="32" t="s">
        <v>23</v>
      </c>
      <c r="C212" s="32" t="str">
        <f aca="false">"0871230"</f>
        <v>0871230</v>
      </c>
      <c r="D212" s="33" t="s">
        <v>57</v>
      </c>
      <c r="E212" s="32" t="n">
        <v>1986</v>
      </c>
      <c r="F212" s="34" t="n">
        <v>366.26</v>
      </c>
      <c r="G212" s="35" t="n">
        <v>3</v>
      </c>
      <c r="H212" s="36" t="n">
        <v>45</v>
      </c>
    </row>
    <row r="213" s="37" customFormat="true" ht="13.8" hidden="false" customHeight="false" outlineLevel="0" collapsed="false">
      <c r="A213" s="31" t="n">
        <v>226</v>
      </c>
      <c r="B213" s="32" t="s">
        <v>23</v>
      </c>
      <c r="C213" s="32" t="str">
        <f aca="false">"0859907"</f>
        <v>0859907</v>
      </c>
      <c r="D213" s="33" t="s">
        <v>165</v>
      </c>
      <c r="E213" s="32" t="n">
        <v>2008</v>
      </c>
      <c r="F213" s="34" t="n">
        <v>6494</v>
      </c>
      <c r="G213" s="35" t="n">
        <v>1</v>
      </c>
      <c r="H213" s="36" t="n">
        <v>540</v>
      </c>
    </row>
    <row r="214" s="37" customFormat="true" ht="13.8" hidden="false" customHeight="false" outlineLevel="0" collapsed="false">
      <c r="A214" s="25" t="n">
        <v>227</v>
      </c>
      <c r="B214" s="32" t="s">
        <v>23</v>
      </c>
      <c r="C214" s="32" t="str">
        <f aca="false">"0871281"</f>
        <v>0871281</v>
      </c>
      <c r="D214" s="33" t="s">
        <v>166</v>
      </c>
      <c r="E214" s="32" t="n">
        <v>1986</v>
      </c>
      <c r="F214" s="34" t="n">
        <v>414.98</v>
      </c>
      <c r="G214" s="35" t="n">
        <v>1</v>
      </c>
      <c r="H214" s="36" t="n">
        <v>20</v>
      </c>
    </row>
    <row r="215" s="37" customFormat="true" ht="13.8" hidden="false" customHeight="false" outlineLevel="0" collapsed="false">
      <c r="A215" s="31" t="n">
        <v>228</v>
      </c>
      <c r="B215" s="32" t="s">
        <v>23</v>
      </c>
      <c r="C215" s="32" t="str">
        <f aca="false">"0871303"</f>
        <v>0871303</v>
      </c>
      <c r="D215" s="33" t="s">
        <v>119</v>
      </c>
      <c r="E215" s="32" t="n">
        <v>1986</v>
      </c>
      <c r="F215" s="34" t="n">
        <v>488.12</v>
      </c>
      <c r="G215" s="35" t="n">
        <v>2</v>
      </c>
      <c r="H215" s="36" t="n">
        <v>40</v>
      </c>
    </row>
    <row r="216" s="37" customFormat="true" ht="13.8" hidden="false" customHeight="false" outlineLevel="0" collapsed="false">
      <c r="A216" s="25" t="n">
        <v>229</v>
      </c>
      <c r="B216" s="32" t="s">
        <v>23</v>
      </c>
      <c r="C216" s="32" t="str">
        <f aca="false">"0871753"</f>
        <v>0871753</v>
      </c>
      <c r="D216" s="33" t="s">
        <v>167</v>
      </c>
      <c r="E216" s="32" t="n">
        <v>1986</v>
      </c>
      <c r="F216" s="34" t="n">
        <v>195.14</v>
      </c>
      <c r="G216" s="35" t="n">
        <v>6</v>
      </c>
      <c r="H216" s="36" t="n">
        <v>60</v>
      </c>
    </row>
    <row r="217" s="37" customFormat="true" ht="13.8" hidden="false" customHeight="false" outlineLevel="0" collapsed="false">
      <c r="A217" s="31" t="n">
        <v>230</v>
      </c>
      <c r="B217" s="32" t="s">
        <v>23</v>
      </c>
      <c r="C217" s="32" t="str">
        <f aca="false">"0860662"</f>
        <v>0860662</v>
      </c>
      <c r="D217" s="33" t="s">
        <v>168</v>
      </c>
      <c r="E217" s="32" t="n">
        <v>1970</v>
      </c>
      <c r="F217" s="34" t="n">
        <f aca="false">921444.26*1.3</f>
        <v>1197877.538</v>
      </c>
      <c r="G217" s="35" t="n">
        <v>1</v>
      </c>
      <c r="H217" s="36" t="n">
        <v>43300</v>
      </c>
    </row>
    <row r="218" s="37" customFormat="true" ht="13.8" hidden="false" customHeight="false" outlineLevel="0" collapsed="false">
      <c r="A218" s="25" t="n">
        <v>231</v>
      </c>
      <c r="B218" s="32" t="s">
        <v>23</v>
      </c>
      <c r="C218" s="32" t="str">
        <f aca="false">"0861057"</f>
        <v>0861057</v>
      </c>
      <c r="D218" s="33" t="s">
        <v>169</v>
      </c>
      <c r="E218" s="32" t="n">
        <v>1984</v>
      </c>
      <c r="F218" s="34" t="n">
        <f aca="false">152570.94*1.25</f>
        <v>190713.675</v>
      </c>
      <c r="G218" s="35" t="n">
        <v>1</v>
      </c>
      <c r="H218" s="36" t="n">
        <v>9500</v>
      </c>
    </row>
    <row r="219" s="37" customFormat="true" ht="13.8" hidden="false" customHeight="false" outlineLevel="0" collapsed="false">
      <c r="A219" s="31" t="n">
        <v>232</v>
      </c>
      <c r="B219" s="32" t="s">
        <v>23</v>
      </c>
      <c r="C219" s="32" t="str">
        <f aca="false">"0860972"</f>
        <v>0860972</v>
      </c>
      <c r="D219" s="33" t="s">
        <v>170</v>
      </c>
      <c r="E219" s="32" t="n">
        <v>1987</v>
      </c>
      <c r="F219" s="34" t="n">
        <f aca="false">20500*7.5*1.25</f>
        <v>192187.5</v>
      </c>
      <c r="G219" s="35" t="n">
        <v>1</v>
      </c>
      <c r="H219" s="36" t="n">
        <v>9200</v>
      </c>
    </row>
    <row r="220" s="37" customFormat="true" ht="13.8" hidden="false" customHeight="false" outlineLevel="0" collapsed="false">
      <c r="A220" s="25" t="n">
        <v>237</v>
      </c>
      <c r="B220" s="32" t="s">
        <v>23</v>
      </c>
      <c r="C220" s="32" t="str">
        <f aca="false">"0876160"</f>
        <v>0876160</v>
      </c>
      <c r="D220" s="33" t="s">
        <v>57</v>
      </c>
      <c r="E220" s="32" t="n">
        <v>1952</v>
      </c>
      <c r="F220" s="34" t="n">
        <f aca="false">305.82*1.3</f>
        <v>397.566</v>
      </c>
      <c r="G220" s="35" t="n">
        <v>1</v>
      </c>
      <c r="H220" s="36" t="n">
        <v>5</v>
      </c>
    </row>
    <row r="221" s="37" customFormat="true" ht="13.8" hidden="false" customHeight="false" outlineLevel="0" collapsed="false">
      <c r="A221" s="31" t="n">
        <v>238</v>
      </c>
      <c r="B221" s="32" t="s">
        <v>23</v>
      </c>
      <c r="C221" s="32" t="str">
        <f aca="false">"0876224"</f>
        <v>0876224</v>
      </c>
      <c r="D221" s="33" t="s">
        <v>57</v>
      </c>
      <c r="E221" s="32" t="n">
        <v>1959</v>
      </c>
      <c r="F221" s="34" t="n">
        <f aca="false">189.55*1.2</f>
        <v>227.46</v>
      </c>
      <c r="G221" s="35" t="n">
        <v>1</v>
      </c>
      <c r="H221" s="36" t="n">
        <v>5</v>
      </c>
    </row>
    <row r="222" s="37" customFormat="true" ht="13.8" hidden="false" customHeight="false" outlineLevel="0" collapsed="false">
      <c r="A222" s="25" t="n">
        <v>239</v>
      </c>
      <c r="B222" s="32" t="s">
        <v>23</v>
      </c>
      <c r="C222" s="32" t="str">
        <f aca="false">"0876283"</f>
        <v>0876283</v>
      </c>
      <c r="D222" s="33" t="s">
        <v>57</v>
      </c>
      <c r="E222" s="32" t="n">
        <v>1959</v>
      </c>
      <c r="F222" s="34" t="n">
        <f aca="false">310.51*1.2</f>
        <v>372.612</v>
      </c>
      <c r="G222" s="35" t="n">
        <v>1</v>
      </c>
      <c r="H222" s="36" t="n">
        <v>10</v>
      </c>
    </row>
    <row r="223" s="37" customFormat="true" ht="13.8" hidden="false" customHeight="false" outlineLevel="0" collapsed="false">
      <c r="A223" s="31" t="n">
        <v>240</v>
      </c>
      <c r="B223" s="32" t="s">
        <v>23</v>
      </c>
      <c r="C223" s="32" t="str">
        <f aca="false">"0876305"</f>
        <v>0876305</v>
      </c>
      <c r="D223" s="33" t="s">
        <v>57</v>
      </c>
      <c r="E223" s="32" t="n">
        <v>1959</v>
      </c>
      <c r="F223" s="34" t="n">
        <f aca="false">341.7*1.2</f>
        <v>410.04</v>
      </c>
      <c r="G223" s="35" t="n">
        <v>1</v>
      </c>
      <c r="H223" s="36" t="n">
        <v>10</v>
      </c>
    </row>
    <row r="224" s="37" customFormat="true" ht="13.8" hidden="false" customHeight="false" outlineLevel="0" collapsed="false">
      <c r="A224" s="25" t="n">
        <v>241</v>
      </c>
      <c r="B224" s="32" t="s">
        <v>23</v>
      </c>
      <c r="C224" s="32" t="str">
        <f aca="false">"0876356"</f>
        <v>0876356</v>
      </c>
      <c r="D224" s="33" t="s">
        <v>109</v>
      </c>
      <c r="E224" s="32" t="n">
        <v>1960</v>
      </c>
      <c r="F224" s="34" t="n">
        <f aca="false">95.37*1.2</f>
        <v>114.444</v>
      </c>
      <c r="G224" s="35" t="n">
        <v>1</v>
      </c>
      <c r="H224" s="36" t="n">
        <v>5</v>
      </c>
    </row>
    <row r="225" s="37" customFormat="true" ht="13.8" hidden="false" customHeight="false" outlineLevel="0" collapsed="false">
      <c r="A225" s="31" t="n">
        <v>242</v>
      </c>
      <c r="B225" s="32" t="s">
        <v>23</v>
      </c>
      <c r="C225" s="32" t="str">
        <f aca="false">"0876771"</f>
        <v>0876771</v>
      </c>
      <c r="D225" s="33" t="s">
        <v>56</v>
      </c>
      <c r="E225" s="32" t="n">
        <v>1968</v>
      </c>
      <c r="F225" s="34" t="n">
        <f aca="false">905.17*1.2</f>
        <v>1086.204</v>
      </c>
      <c r="G225" s="35" t="n">
        <v>1</v>
      </c>
      <c r="H225" s="36" t="n">
        <v>30</v>
      </c>
    </row>
    <row r="226" s="37" customFormat="true" ht="13.8" hidden="false" customHeight="false" outlineLevel="0" collapsed="false">
      <c r="A226" s="25" t="n">
        <v>243</v>
      </c>
      <c r="B226" s="32" t="s">
        <v>23</v>
      </c>
      <c r="C226" s="32" t="str">
        <f aca="false">"0874159"</f>
        <v>0874159</v>
      </c>
      <c r="D226" s="33" t="s">
        <v>119</v>
      </c>
      <c r="E226" s="32" t="n">
        <v>2001</v>
      </c>
      <c r="F226" s="34" t="n">
        <v>250</v>
      </c>
      <c r="G226" s="35" t="n">
        <v>1</v>
      </c>
      <c r="H226" s="36" t="n">
        <v>15</v>
      </c>
    </row>
    <row r="227" s="37" customFormat="true" ht="13.8" hidden="false" customHeight="false" outlineLevel="0" collapsed="false">
      <c r="A227" s="31" t="n">
        <v>244</v>
      </c>
      <c r="B227" s="32" t="s">
        <v>23</v>
      </c>
      <c r="C227" s="32" t="str">
        <f aca="false">"0874191"</f>
        <v>0874191</v>
      </c>
      <c r="D227" s="33" t="s">
        <v>171</v>
      </c>
      <c r="E227" s="32" t="n">
        <v>2001</v>
      </c>
      <c r="F227" s="34" t="n">
        <v>100</v>
      </c>
      <c r="G227" s="35" t="n">
        <v>2</v>
      </c>
      <c r="H227" s="36" t="n">
        <v>10</v>
      </c>
    </row>
    <row r="228" s="37" customFormat="true" ht="13.8" hidden="false" customHeight="false" outlineLevel="0" collapsed="false">
      <c r="A228" s="25" t="n">
        <v>245</v>
      </c>
      <c r="B228" s="32" t="s">
        <v>23</v>
      </c>
      <c r="C228" s="32" t="str">
        <f aca="false">"0874329"</f>
        <v>0874329</v>
      </c>
      <c r="D228" s="33" t="s">
        <v>61</v>
      </c>
      <c r="E228" s="32" t="n">
        <v>2001</v>
      </c>
      <c r="F228" s="34" t="n">
        <v>200</v>
      </c>
      <c r="G228" s="35" t="n">
        <v>2</v>
      </c>
      <c r="H228" s="36" t="n">
        <v>20</v>
      </c>
    </row>
    <row r="229" s="37" customFormat="true" ht="13.8" hidden="false" customHeight="false" outlineLevel="0" collapsed="false">
      <c r="A229" s="31" t="n">
        <v>246</v>
      </c>
      <c r="B229" s="32" t="s">
        <v>23</v>
      </c>
      <c r="C229" s="32" t="str">
        <f aca="false">"0874469"</f>
        <v>0874469</v>
      </c>
      <c r="D229" s="33" t="s">
        <v>109</v>
      </c>
      <c r="E229" s="32" t="n">
        <v>1960</v>
      </c>
      <c r="F229" s="34" t="n">
        <f aca="false">47.68*1.2</f>
        <v>57.216</v>
      </c>
      <c r="G229" s="35" t="n">
        <v>1</v>
      </c>
      <c r="H229" s="36" t="n">
        <v>5</v>
      </c>
    </row>
    <row r="230" s="37" customFormat="true" ht="13.8" hidden="false" customHeight="false" outlineLevel="0" collapsed="false">
      <c r="A230" s="25" t="n">
        <v>247</v>
      </c>
      <c r="B230" s="32" t="s">
        <v>23</v>
      </c>
      <c r="C230" s="32" t="str">
        <f aca="false">"0874531"</f>
        <v>0874531</v>
      </c>
      <c r="D230" s="33" t="s">
        <v>164</v>
      </c>
      <c r="E230" s="32" t="n">
        <v>1984</v>
      </c>
      <c r="F230" s="34" t="n">
        <v>751.29</v>
      </c>
      <c r="G230" s="35" t="n">
        <v>1</v>
      </c>
      <c r="H230" s="36" t="n">
        <v>35</v>
      </c>
    </row>
    <row r="231" s="37" customFormat="true" ht="13.8" hidden="false" customHeight="false" outlineLevel="0" collapsed="false">
      <c r="A231" s="31" t="n">
        <v>248</v>
      </c>
      <c r="B231" s="32" t="s">
        <v>23</v>
      </c>
      <c r="C231" s="32" t="str">
        <f aca="false">"0874540"</f>
        <v>0874540</v>
      </c>
      <c r="D231" s="33" t="s">
        <v>119</v>
      </c>
      <c r="E231" s="32" t="n">
        <v>1984</v>
      </c>
      <c r="F231" s="34" t="n">
        <v>474.52</v>
      </c>
      <c r="G231" s="35" t="n">
        <v>2</v>
      </c>
      <c r="H231" s="36" t="n">
        <v>40</v>
      </c>
    </row>
    <row r="232" s="37" customFormat="true" ht="13.8" hidden="false" customHeight="false" outlineLevel="0" collapsed="false">
      <c r="A232" s="25" t="n">
        <v>249</v>
      </c>
      <c r="B232" s="32" t="s">
        <v>23</v>
      </c>
      <c r="C232" s="32" t="str">
        <f aca="false">"0874574"</f>
        <v>0874574</v>
      </c>
      <c r="D232" s="33" t="s">
        <v>172</v>
      </c>
      <c r="E232" s="32" t="n">
        <v>1984</v>
      </c>
      <c r="F232" s="34" t="n">
        <v>257.03</v>
      </c>
      <c r="G232" s="35" t="n">
        <v>1</v>
      </c>
      <c r="H232" s="36" t="n">
        <v>10</v>
      </c>
    </row>
    <row r="233" s="37" customFormat="true" ht="13.8" hidden="false" customHeight="false" outlineLevel="0" collapsed="false">
      <c r="A233" s="31" t="n">
        <v>250</v>
      </c>
      <c r="B233" s="32" t="s">
        <v>23</v>
      </c>
      <c r="C233" s="32" t="s">
        <v>25</v>
      </c>
      <c r="D233" s="33" t="s">
        <v>109</v>
      </c>
      <c r="E233" s="32" t="n">
        <v>1984</v>
      </c>
      <c r="F233" s="34" t="n">
        <v>200</v>
      </c>
      <c r="G233" s="35" t="n">
        <v>1</v>
      </c>
      <c r="H233" s="36" t="n">
        <v>10</v>
      </c>
    </row>
    <row r="234" s="37" customFormat="true" ht="13.8" hidden="false" customHeight="false" outlineLevel="0" collapsed="false">
      <c r="A234" s="25" t="n">
        <v>251</v>
      </c>
      <c r="B234" s="32" t="s">
        <v>23</v>
      </c>
      <c r="C234" s="32" t="s">
        <v>25</v>
      </c>
      <c r="D234" s="33" t="s">
        <v>32</v>
      </c>
      <c r="E234" s="32" t="n">
        <v>1984</v>
      </c>
      <c r="F234" s="34" t="n">
        <v>120</v>
      </c>
      <c r="G234" s="35" t="n">
        <v>4</v>
      </c>
      <c r="H234" s="36" t="n">
        <v>20</v>
      </c>
    </row>
    <row r="235" s="37" customFormat="true" ht="13.8" hidden="false" customHeight="false" outlineLevel="0" collapsed="false">
      <c r="A235" s="31" t="n">
        <v>252</v>
      </c>
      <c r="B235" s="32" t="s">
        <v>23</v>
      </c>
      <c r="C235" s="32" t="s">
        <v>25</v>
      </c>
      <c r="D235" s="33" t="s">
        <v>127</v>
      </c>
      <c r="E235" s="32" t="n">
        <v>2013</v>
      </c>
      <c r="F235" s="34" t="n">
        <v>4680</v>
      </c>
      <c r="G235" s="35" t="n">
        <f aca="false">3+3</f>
        <v>6</v>
      </c>
      <c r="H235" s="36" t="n">
        <v>2880</v>
      </c>
    </row>
    <row r="236" s="37" customFormat="true" ht="13.8" hidden="false" customHeight="false" outlineLevel="0" collapsed="false">
      <c r="A236" s="25" t="n">
        <v>253</v>
      </c>
      <c r="B236" s="32" t="s">
        <v>23</v>
      </c>
      <c r="C236" s="32" t="s">
        <v>25</v>
      </c>
      <c r="D236" s="33" t="s">
        <v>173</v>
      </c>
      <c r="E236" s="32" t="n">
        <v>2013</v>
      </c>
      <c r="F236" s="34" t="n">
        <v>2260</v>
      </c>
      <c r="G236" s="35" t="n">
        <f aca="false">2+2</f>
        <v>4</v>
      </c>
      <c r="H236" s="36" t="n">
        <v>920</v>
      </c>
    </row>
    <row r="237" s="37" customFormat="true" ht="13.8" hidden="false" customHeight="false" outlineLevel="0" collapsed="false">
      <c r="A237" s="31" t="n">
        <v>254</v>
      </c>
      <c r="B237" s="32" t="s">
        <v>23</v>
      </c>
      <c r="C237" s="32" t="s">
        <v>25</v>
      </c>
      <c r="D237" s="33" t="s">
        <v>174</v>
      </c>
      <c r="E237" s="32" t="n">
        <v>2013</v>
      </c>
      <c r="F237" s="34" t="n">
        <v>4150</v>
      </c>
      <c r="G237" s="35" t="n">
        <v>1</v>
      </c>
      <c r="H237" s="36" t="n">
        <v>425</v>
      </c>
    </row>
    <row r="238" s="37" customFormat="true" ht="13.8" hidden="false" customHeight="false" outlineLevel="0" collapsed="false">
      <c r="A238" s="25" t="n">
        <v>255</v>
      </c>
      <c r="B238" s="32" t="s">
        <v>23</v>
      </c>
      <c r="C238" s="32" t="s">
        <v>25</v>
      </c>
      <c r="D238" s="33" t="s">
        <v>175</v>
      </c>
      <c r="E238" s="32" t="n">
        <v>2013</v>
      </c>
      <c r="F238" s="34" t="n">
        <v>5240</v>
      </c>
      <c r="G238" s="35" t="n">
        <v>1</v>
      </c>
      <c r="H238" s="36" t="n">
        <v>535</v>
      </c>
    </row>
    <row r="239" s="37" customFormat="true" ht="13.8" hidden="false" customHeight="false" outlineLevel="0" collapsed="false">
      <c r="A239" s="31" t="n">
        <v>256</v>
      </c>
      <c r="B239" s="32" t="s">
        <v>23</v>
      </c>
      <c r="C239" s="32" t="s">
        <v>25</v>
      </c>
      <c r="D239" s="33" t="s">
        <v>176</v>
      </c>
      <c r="E239" s="32" t="n">
        <v>2013</v>
      </c>
      <c r="F239" s="34" t="n">
        <v>6600</v>
      </c>
      <c r="G239" s="35" t="n">
        <v>1</v>
      </c>
      <c r="H239" s="36" t="n">
        <v>675</v>
      </c>
    </row>
    <row r="240" s="37" customFormat="true" ht="13.8" hidden="false" customHeight="false" outlineLevel="0" collapsed="false">
      <c r="A240" s="25" t="n">
        <v>257</v>
      </c>
      <c r="B240" s="32" t="s">
        <v>23</v>
      </c>
      <c r="C240" s="32" t="s">
        <v>25</v>
      </c>
      <c r="D240" s="33" t="s">
        <v>177</v>
      </c>
      <c r="E240" s="32" t="n">
        <v>2013</v>
      </c>
      <c r="F240" s="34" t="n">
        <v>6380</v>
      </c>
      <c r="G240" s="35" t="n">
        <v>1</v>
      </c>
      <c r="H240" s="36" t="n">
        <v>650</v>
      </c>
    </row>
    <row r="241" s="37" customFormat="true" ht="13.8" hidden="false" customHeight="false" outlineLevel="0" collapsed="false">
      <c r="A241" s="31" t="n">
        <v>258</v>
      </c>
      <c r="B241" s="32" t="s">
        <v>178</v>
      </c>
      <c r="C241" s="32" t="str">
        <f aca="false">"0872792"</f>
        <v>0872792</v>
      </c>
      <c r="D241" s="33" t="s">
        <v>179</v>
      </c>
      <c r="E241" s="32" t="n">
        <v>1989</v>
      </c>
      <c r="F241" s="34" t="n">
        <v>10431.29</v>
      </c>
      <c r="G241" s="35" t="n">
        <v>15</v>
      </c>
      <c r="H241" s="36" t="n">
        <v>7800</v>
      </c>
    </row>
    <row r="242" s="37" customFormat="true" ht="13.8" hidden="false" customHeight="false" outlineLevel="0" collapsed="false">
      <c r="A242" s="25" t="n">
        <v>259</v>
      </c>
      <c r="B242" s="32" t="s">
        <v>178</v>
      </c>
      <c r="C242" s="32" t="str">
        <f aca="false">"0865931"</f>
        <v>0865931</v>
      </c>
      <c r="D242" s="33" t="s">
        <v>180</v>
      </c>
      <c r="E242" s="32" t="n">
        <v>1976</v>
      </c>
      <c r="F242" s="34" t="n">
        <v>1486.3</v>
      </c>
      <c r="G242" s="35" t="n">
        <v>1</v>
      </c>
      <c r="H242" s="36" t="n">
        <v>55</v>
      </c>
    </row>
    <row r="243" s="37" customFormat="true" ht="13.8" hidden="false" customHeight="false" outlineLevel="0" collapsed="false">
      <c r="A243" s="31" t="n">
        <v>260</v>
      </c>
      <c r="B243" s="32" t="s">
        <v>178</v>
      </c>
      <c r="C243" s="32" t="str">
        <f aca="false">"0866431"</f>
        <v>0866431</v>
      </c>
      <c r="D243" s="33" t="s">
        <v>181</v>
      </c>
      <c r="E243" s="32" t="n">
        <v>1977</v>
      </c>
      <c r="F243" s="34" t="n">
        <v>1568.42</v>
      </c>
      <c r="G243" s="35" t="n">
        <v>2</v>
      </c>
      <c r="H243" s="36" t="n">
        <v>120</v>
      </c>
    </row>
    <row r="244" s="37" customFormat="true" ht="13.8" hidden="false" customHeight="false" outlineLevel="0" collapsed="false">
      <c r="A244" s="25" t="n">
        <v>261</v>
      </c>
      <c r="B244" s="32" t="s">
        <v>178</v>
      </c>
      <c r="C244" s="32" t="str">
        <f aca="false">"0866709"</f>
        <v>0866709</v>
      </c>
      <c r="D244" s="33" t="s">
        <v>56</v>
      </c>
      <c r="E244" s="32" t="n">
        <v>1977</v>
      </c>
      <c r="F244" s="34" t="n">
        <v>1407.78</v>
      </c>
      <c r="G244" s="35" t="n">
        <v>1</v>
      </c>
      <c r="H244" s="36" t="n">
        <v>55</v>
      </c>
    </row>
    <row r="245" s="37" customFormat="true" ht="13.8" hidden="false" customHeight="false" outlineLevel="0" collapsed="false">
      <c r="A245" s="31" t="n">
        <v>262</v>
      </c>
      <c r="B245" s="32" t="s">
        <v>178</v>
      </c>
      <c r="C245" s="32" t="str">
        <f aca="false">"0863394"</f>
        <v>0863394</v>
      </c>
      <c r="D245" s="33" t="s">
        <v>56</v>
      </c>
      <c r="E245" s="32" t="n">
        <v>1970</v>
      </c>
      <c r="F245" s="34" t="n">
        <v>1123.35</v>
      </c>
      <c r="G245" s="35" t="n">
        <v>1</v>
      </c>
      <c r="H245" s="36" t="n">
        <v>35</v>
      </c>
    </row>
    <row r="246" s="37" customFormat="true" ht="13.8" hidden="false" customHeight="false" outlineLevel="0" collapsed="false">
      <c r="A246" s="25" t="n">
        <v>263</v>
      </c>
      <c r="B246" s="32" t="s">
        <v>178</v>
      </c>
      <c r="C246" s="32" t="str">
        <f aca="false">"0868558"</f>
        <v>0868558</v>
      </c>
      <c r="D246" s="33" t="s">
        <v>108</v>
      </c>
      <c r="E246" s="32" t="n">
        <v>1984</v>
      </c>
      <c r="F246" s="34" t="n">
        <v>1074.09</v>
      </c>
      <c r="G246" s="35" t="n">
        <v>1</v>
      </c>
      <c r="H246" s="36" t="n">
        <v>50</v>
      </c>
    </row>
    <row r="247" s="37" customFormat="true" ht="13.8" hidden="false" customHeight="false" outlineLevel="0" collapsed="false">
      <c r="A247" s="31" t="n">
        <v>264</v>
      </c>
      <c r="B247" s="32" t="s">
        <v>178</v>
      </c>
      <c r="C247" s="32" t="str">
        <f aca="false">"0868981"</f>
        <v>0868981</v>
      </c>
      <c r="D247" s="33" t="s">
        <v>57</v>
      </c>
      <c r="E247" s="32" t="n">
        <v>1984</v>
      </c>
      <c r="F247" s="34" t="n">
        <v>677.18</v>
      </c>
      <c r="G247" s="35" t="n">
        <v>1</v>
      </c>
      <c r="H247" s="36" t="n">
        <v>30</v>
      </c>
    </row>
    <row r="248" s="37" customFormat="true" ht="13.8" hidden="false" customHeight="false" outlineLevel="0" collapsed="false">
      <c r="A248" s="25" t="n">
        <v>265</v>
      </c>
      <c r="B248" s="32" t="s">
        <v>178</v>
      </c>
      <c r="C248" s="32" t="str">
        <f aca="false">"0869015"</f>
        <v>0869015</v>
      </c>
      <c r="D248" s="33" t="s">
        <v>182</v>
      </c>
      <c r="E248" s="32" t="n">
        <v>1984</v>
      </c>
      <c r="F248" s="34" t="n">
        <v>677.18</v>
      </c>
      <c r="G248" s="35" t="n">
        <v>4</v>
      </c>
      <c r="H248" s="36" t="n">
        <v>120</v>
      </c>
    </row>
    <row r="249" s="37" customFormat="true" ht="13.8" hidden="false" customHeight="false" outlineLevel="0" collapsed="false">
      <c r="A249" s="31" t="n">
        <v>266</v>
      </c>
      <c r="B249" s="32" t="s">
        <v>178</v>
      </c>
      <c r="C249" s="32" t="str">
        <f aca="false">"0869058"</f>
        <v>0869058</v>
      </c>
      <c r="D249" s="33" t="s">
        <v>57</v>
      </c>
      <c r="E249" s="32" t="n">
        <v>1984</v>
      </c>
      <c r="F249" s="34" t="n">
        <v>435.27</v>
      </c>
      <c r="G249" s="35" t="n">
        <v>5</v>
      </c>
      <c r="H249" s="36" t="n">
        <v>100</v>
      </c>
    </row>
    <row r="250" s="37" customFormat="true" ht="13.8" hidden="false" customHeight="false" outlineLevel="0" collapsed="false">
      <c r="A250" s="25" t="n">
        <v>267</v>
      </c>
      <c r="B250" s="32" t="s">
        <v>178</v>
      </c>
      <c r="C250" s="32" t="str">
        <f aca="false">"0869473"</f>
        <v>0869473</v>
      </c>
      <c r="D250" s="33" t="s">
        <v>57</v>
      </c>
      <c r="E250" s="32" t="n">
        <v>1984</v>
      </c>
      <c r="F250" s="34" t="n">
        <v>319.48</v>
      </c>
      <c r="G250" s="35" t="n">
        <v>4</v>
      </c>
      <c r="H250" s="36" t="n">
        <v>60</v>
      </c>
    </row>
    <row r="251" s="37" customFormat="true" ht="13.8" hidden="false" customHeight="false" outlineLevel="0" collapsed="false">
      <c r="A251" s="31" t="n">
        <v>268</v>
      </c>
      <c r="B251" s="32" t="s">
        <v>178</v>
      </c>
      <c r="C251" s="32" t="str">
        <f aca="false">"0869511"</f>
        <v>0869511</v>
      </c>
      <c r="D251" s="33" t="s">
        <v>183</v>
      </c>
      <c r="E251" s="32" t="n">
        <v>1984</v>
      </c>
      <c r="F251" s="34" t="n">
        <v>601.14</v>
      </c>
      <c r="G251" s="35" t="n">
        <v>3</v>
      </c>
      <c r="H251" s="36" t="n">
        <v>75</v>
      </c>
    </row>
    <row r="252" s="37" customFormat="true" ht="13.8" hidden="false" customHeight="false" outlineLevel="0" collapsed="false">
      <c r="A252" s="25" t="n">
        <v>269</v>
      </c>
      <c r="B252" s="32" t="s">
        <v>178</v>
      </c>
      <c r="C252" s="32" t="str">
        <f aca="false">"0870080"</f>
        <v>0870080</v>
      </c>
      <c r="D252" s="33" t="s">
        <v>57</v>
      </c>
      <c r="E252" s="32" t="n">
        <v>1984</v>
      </c>
      <c r="F252" s="34" t="n">
        <v>1162.68</v>
      </c>
      <c r="G252" s="35" t="n">
        <v>3</v>
      </c>
      <c r="H252" s="36" t="n">
        <v>150</v>
      </c>
    </row>
    <row r="253" s="37" customFormat="true" ht="13.8" hidden="false" customHeight="false" outlineLevel="0" collapsed="false">
      <c r="A253" s="31" t="n">
        <v>270</v>
      </c>
      <c r="B253" s="32" t="s">
        <v>178</v>
      </c>
      <c r="C253" s="32" t="str">
        <f aca="false">"0859265"</f>
        <v>0859265</v>
      </c>
      <c r="D253" s="33" t="s">
        <v>184</v>
      </c>
      <c r="E253" s="32" t="n">
        <v>2005</v>
      </c>
      <c r="F253" s="34" t="n">
        <v>5015.74</v>
      </c>
      <c r="G253" s="35" t="n">
        <v>7</v>
      </c>
      <c r="H253" s="36" t="n">
        <v>2205</v>
      </c>
    </row>
    <row r="254" s="37" customFormat="true" ht="13.8" hidden="false" customHeight="false" outlineLevel="0" collapsed="false">
      <c r="A254" s="25" t="n">
        <v>271</v>
      </c>
      <c r="B254" s="32" t="s">
        <v>178</v>
      </c>
      <c r="C254" s="32" t="str">
        <f aca="false">"0870714"</f>
        <v>0870714</v>
      </c>
      <c r="D254" s="33" t="s">
        <v>56</v>
      </c>
      <c r="E254" s="32" t="n">
        <v>1985</v>
      </c>
      <c r="F254" s="34" t="n">
        <v>2250.98</v>
      </c>
      <c r="G254" s="35" t="n">
        <v>4</v>
      </c>
      <c r="H254" s="36" t="n">
        <v>400</v>
      </c>
    </row>
    <row r="255" s="37" customFormat="true" ht="13.8" hidden="false" customHeight="false" outlineLevel="0" collapsed="false">
      <c r="A255" s="31" t="n">
        <v>272</v>
      </c>
      <c r="B255" s="32" t="s">
        <v>178</v>
      </c>
      <c r="C255" s="32" t="str">
        <f aca="false">"0872440"</f>
        <v>0872440</v>
      </c>
      <c r="D255" s="33" t="s">
        <v>185</v>
      </c>
      <c r="E255" s="32" t="n">
        <v>1989</v>
      </c>
      <c r="F255" s="34" t="n">
        <v>1556.68</v>
      </c>
      <c r="G255" s="35" t="n">
        <v>3</v>
      </c>
      <c r="H255" s="36" t="n">
        <v>240</v>
      </c>
    </row>
    <row r="256" s="37" customFormat="true" ht="13.8" hidden="false" customHeight="false" outlineLevel="0" collapsed="false">
      <c r="A256" s="25" t="n">
        <v>273</v>
      </c>
      <c r="B256" s="32" t="s">
        <v>178</v>
      </c>
      <c r="C256" s="32" t="str">
        <f aca="false">"0872474"</f>
        <v>0872474</v>
      </c>
      <c r="D256" s="33" t="s">
        <v>186</v>
      </c>
      <c r="E256" s="32" t="n">
        <v>1989</v>
      </c>
      <c r="F256" s="34" t="n">
        <v>1056.7</v>
      </c>
      <c r="G256" s="35" t="n">
        <v>25</v>
      </c>
      <c r="H256" s="36" t="n">
        <v>1250</v>
      </c>
    </row>
    <row r="257" s="37" customFormat="true" ht="13.8" hidden="false" customHeight="false" outlineLevel="0" collapsed="false">
      <c r="A257" s="31" t="n">
        <v>274</v>
      </c>
      <c r="B257" s="32" t="s">
        <v>178</v>
      </c>
      <c r="C257" s="32" t="str">
        <f aca="false">"0876674"</f>
        <v>0876674</v>
      </c>
      <c r="D257" s="33" t="s">
        <v>56</v>
      </c>
      <c r="E257" s="32" t="n">
        <v>1965</v>
      </c>
      <c r="F257" s="34" t="n">
        <v>1167.78</v>
      </c>
      <c r="G257" s="35" t="n">
        <v>1</v>
      </c>
      <c r="H257" s="36" t="n">
        <v>30</v>
      </c>
    </row>
    <row r="258" s="37" customFormat="true" ht="13.8" hidden="false" customHeight="false" outlineLevel="0" collapsed="false">
      <c r="A258" s="25" t="n">
        <v>275</v>
      </c>
      <c r="B258" s="32" t="s">
        <v>178</v>
      </c>
      <c r="C258" s="32" t="str">
        <f aca="false">"0876690"</f>
        <v>0876690</v>
      </c>
      <c r="D258" s="33" t="s">
        <v>56</v>
      </c>
      <c r="E258" s="32" t="n">
        <v>1966</v>
      </c>
      <c r="F258" s="34" t="n">
        <v>957.06</v>
      </c>
      <c r="G258" s="35" t="n">
        <v>1</v>
      </c>
      <c r="H258" s="36" t="n">
        <v>30</v>
      </c>
    </row>
    <row r="259" s="37" customFormat="true" ht="13.8" hidden="false" customHeight="false" outlineLevel="0" collapsed="false">
      <c r="A259" s="31" t="n">
        <v>276</v>
      </c>
      <c r="B259" s="32" t="s">
        <v>178</v>
      </c>
      <c r="C259" s="32" t="str">
        <f aca="false">"0873624"</f>
        <v>0873624</v>
      </c>
      <c r="D259" s="33" t="s">
        <v>187</v>
      </c>
      <c r="E259" s="32" t="n">
        <v>1999</v>
      </c>
      <c r="F259" s="34" t="n">
        <v>9650</v>
      </c>
      <c r="G259" s="35" t="n">
        <v>1</v>
      </c>
      <c r="H259" s="36" t="n">
        <v>590</v>
      </c>
    </row>
    <row r="260" s="37" customFormat="true" ht="13.8" hidden="false" customHeight="false" outlineLevel="0" collapsed="false">
      <c r="A260" s="25" t="n">
        <v>277</v>
      </c>
      <c r="B260" s="32" t="s">
        <v>178</v>
      </c>
      <c r="C260" s="32" t="str">
        <f aca="false">"0874825"</f>
        <v>0874825</v>
      </c>
      <c r="D260" s="33" t="s">
        <v>188</v>
      </c>
      <c r="E260" s="32" t="n">
        <v>2005</v>
      </c>
      <c r="F260" s="34" t="n">
        <v>9639.7</v>
      </c>
      <c r="G260" s="35" t="n">
        <v>1</v>
      </c>
      <c r="H260" s="36" t="n">
        <v>580</v>
      </c>
    </row>
    <row r="261" s="37" customFormat="true" ht="13.8" hidden="false" customHeight="false" outlineLevel="0" collapsed="false">
      <c r="A261" s="31" t="n">
        <v>278</v>
      </c>
      <c r="B261" s="32" t="s">
        <v>178</v>
      </c>
      <c r="C261" s="32" t="str">
        <f aca="false">"0920320"</f>
        <v>0920320</v>
      </c>
      <c r="D261" s="33" t="s">
        <v>189</v>
      </c>
      <c r="E261" s="32" t="n">
        <v>2017</v>
      </c>
      <c r="F261" s="34" t="n">
        <v>895.2</v>
      </c>
      <c r="G261" s="35" t="n">
        <v>3</v>
      </c>
      <c r="H261" s="36" t="n">
        <v>1260</v>
      </c>
    </row>
    <row r="262" s="37" customFormat="true" ht="13.8" hidden="false" customHeight="false" outlineLevel="0" collapsed="false">
      <c r="A262" s="25" t="n">
        <v>279</v>
      </c>
      <c r="B262" s="32" t="s">
        <v>178</v>
      </c>
      <c r="C262" s="32" t="s">
        <v>25</v>
      </c>
      <c r="D262" s="33" t="s">
        <v>190</v>
      </c>
      <c r="E262" s="32" t="n">
        <v>1986</v>
      </c>
      <c r="F262" s="34" t="n">
        <v>960</v>
      </c>
      <c r="G262" s="35" t="n">
        <v>1</v>
      </c>
      <c r="H262" s="36" t="n">
        <v>45</v>
      </c>
    </row>
    <row r="263" s="37" customFormat="true" ht="13.8" hidden="false" customHeight="false" outlineLevel="0" collapsed="false">
      <c r="A263" s="31" t="n">
        <v>280</v>
      </c>
      <c r="B263" s="32" t="s">
        <v>178</v>
      </c>
      <c r="C263" s="32" t="s">
        <v>25</v>
      </c>
      <c r="D263" s="33" t="s">
        <v>191</v>
      </c>
      <c r="E263" s="32" t="n">
        <v>1986</v>
      </c>
      <c r="F263" s="34" t="n">
        <v>700</v>
      </c>
      <c r="G263" s="35" t="n">
        <v>2</v>
      </c>
      <c r="H263" s="36" t="n">
        <v>60</v>
      </c>
    </row>
    <row r="264" s="37" customFormat="true" ht="13.8" hidden="false" customHeight="false" outlineLevel="0" collapsed="false">
      <c r="A264" s="25" t="n">
        <v>281</v>
      </c>
      <c r="B264" s="32" t="s">
        <v>178</v>
      </c>
      <c r="C264" s="32" t="s">
        <v>25</v>
      </c>
      <c r="D264" s="33" t="s">
        <v>32</v>
      </c>
      <c r="E264" s="32" t="n">
        <v>1986</v>
      </c>
      <c r="F264" s="34" t="n">
        <v>80</v>
      </c>
      <c r="G264" s="35" t="n">
        <f aca="false">3+7</f>
        <v>10</v>
      </c>
      <c r="H264" s="36" t="n">
        <v>50</v>
      </c>
    </row>
    <row r="265" s="37" customFormat="true" ht="13.8" hidden="false" customHeight="false" outlineLevel="0" collapsed="false">
      <c r="A265" s="31" t="n">
        <v>282</v>
      </c>
      <c r="B265" s="32" t="s">
        <v>178</v>
      </c>
      <c r="C265" s="32" t="s">
        <v>25</v>
      </c>
      <c r="D265" s="33" t="s">
        <v>192</v>
      </c>
      <c r="E265" s="32" t="n">
        <v>1986</v>
      </c>
      <c r="F265" s="34" t="n">
        <v>3860</v>
      </c>
      <c r="G265" s="35" t="n">
        <v>1</v>
      </c>
      <c r="H265" s="36" t="n">
        <v>160</v>
      </c>
    </row>
    <row r="266" s="37" customFormat="true" ht="13.8" hidden="false" customHeight="false" outlineLevel="0" collapsed="false">
      <c r="A266" s="25" t="n">
        <v>283</v>
      </c>
      <c r="B266" s="32" t="s">
        <v>178</v>
      </c>
      <c r="C266" s="32" t="s">
        <v>25</v>
      </c>
      <c r="D266" s="33" t="s">
        <v>193</v>
      </c>
      <c r="E266" s="32" t="n">
        <v>1986</v>
      </c>
      <c r="F266" s="34" t="n">
        <v>4200</v>
      </c>
      <c r="G266" s="35" t="n">
        <v>1</v>
      </c>
      <c r="H266" s="36" t="n">
        <v>175</v>
      </c>
    </row>
    <row r="267" s="37" customFormat="true" ht="13.8" hidden="false" customHeight="false" outlineLevel="0" collapsed="false">
      <c r="A267" s="31" t="n">
        <v>284</v>
      </c>
      <c r="B267" s="32" t="s">
        <v>178</v>
      </c>
      <c r="C267" s="32" t="s">
        <v>25</v>
      </c>
      <c r="D267" s="33" t="s">
        <v>194</v>
      </c>
      <c r="E267" s="32" t="n">
        <v>1986</v>
      </c>
      <c r="F267" s="34" t="n">
        <v>4500</v>
      </c>
      <c r="G267" s="35" t="n">
        <v>1</v>
      </c>
      <c r="H267" s="36" t="n">
        <v>190</v>
      </c>
    </row>
    <row r="268" s="37" customFormat="true" ht="13.8" hidden="false" customHeight="false" outlineLevel="0" collapsed="false">
      <c r="A268" s="25" t="n">
        <v>285</v>
      </c>
      <c r="B268" s="32" t="s">
        <v>178</v>
      </c>
      <c r="C268" s="32" t="s">
        <v>25</v>
      </c>
      <c r="D268" s="33" t="s">
        <v>195</v>
      </c>
      <c r="E268" s="32" t="n">
        <v>2001</v>
      </c>
      <c r="F268" s="34" t="n">
        <v>750</v>
      </c>
      <c r="G268" s="35" t="n">
        <v>1</v>
      </c>
      <c r="H268" s="36" t="n">
        <v>50</v>
      </c>
    </row>
    <row r="269" s="37" customFormat="true" ht="13.8" hidden="false" customHeight="false" outlineLevel="0" collapsed="false">
      <c r="A269" s="31" t="n">
        <v>286</v>
      </c>
      <c r="B269" s="32" t="s">
        <v>178</v>
      </c>
      <c r="C269" s="32" t="s">
        <v>25</v>
      </c>
      <c r="D269" s="33" t="s">
        <v>196</v>
      </c>
      <c r="E269" s="32" t="n">
        <v>2001</v>
      </c>
      <c r="F269" s="34" t="n">
        <v>700</v>
      </c>
      <c r="G269" s="35" t="n">
        <f aca="false">1+2</f>
        <v>3</v>
      </c>
      <c r="H269" s="36" t="n">
        <v>150</v>
      </c>
    </row>
    <row r="270" s="37" customFormat="true" ht="13.8" hidden="false" customHeight="false" outlineLevel="0" collapsed="false">
      <c r="A270" s="25" t="n">
        <v>287</v>
      </c>
      <c r="B270" s="32" t="s">
        <v>178</v>
      </c>
      <c r="C270" s="32" t="s">
        <v>25</v>
      </c>
      <c r="D270" s="33" t="s">
        <v>197</v>
      </c>
      <c r="E270" s="32" t="n">
        <v>2001</v>
      </c>
      <c r="F270" s="34" t="n">
        <v>550</v>
      </c>
      <c r="G270" s="35" t="n">
        <v>1</v>
      </c>
      <c r="H270" s="36" t="n">
        <v>30</v>
      </c>
    </row>
    <row r="271" s="37" customFormat="true" ht="13.8" hidden="false" customHeight="false" outlineLevel="0" collapsed="false">
      <c r="A271" s="31" t="n">
        <v>288</v>
      </c>
      <c r="B271" s="32" t="s">
        <v>178</v>
      </c>
      <c r="C271" s="32" t="s">
        <v>25</v>
      </c>
      <c r="D271" s="33" t="s">
        <v>124</v>
      </c>
      <c r="E271" s="32" t="n">
        <v>2001</v>
      </c>
      <c r="F271" s="34" t="n">
        <v>570</v>
      </c>
      <c r="G271" s="35" t="n">
        <f aca="false">5+1</f>
        <v>6</v>
      </c>
      <c r="H271" s="36" t="n">
        <v>210</v>
      </c>
    </row>
    <row r="272" s="37" customFormat="true" ht="13.8" hidden="false" customHeight="false" outlineLevel="0" collapsed="false">
      <c r="A272" s="25" t="n">
        <v>289</v>
      </c>
      <c r="B272" s="32" t="s">
        <v>178</v>
      </c>
      <c r="C272" s="32" t="s">
        <v>25</v>
      </c>
      <c r="D272" s="33" t="s">
        <v>198</v>
      </c>
      <c r="E272" s="32" t="n">
        <v>2001</v>
      </c>
      <c r="F272" s="34" t="n">
        <v>650</v>
      </c>
      <c r="G272" s="35" t="n">
        <v>2</v>
      </c>
      <c r="H272" s="36" t="n">
        <v>80</v>
      </c>
    </row>
    <row r="273" s="37" customFormat="true" ht="13.8" hidden="false" customHeight="false" outlineLevel="0" collapsed="false">
      <c r="A273" s="31" t="n">
        <v>290</v>
      </c>
      <c r="B273" s="32" t="s">
        <v>178</v>
      </c>
      <c r="C273" s="32" t="s">
        <v>25</v>
      </c>
      <c r="D273" s="33" t="s">
        <v>199</v>
      </c>
      <c r="E273" s="32" t="n">
        <v>2001</v>
      </c>
      <c r="F273" s="34" t="n">
        <v>270</v>
      </c>
      <c r="G273" s="35" t="n">
        <v>2</v>
      </c>
      <c r="H273" s="36" t="n">
        <v>30</v>
      </c>
    </row>
    <row r="274" s="37" customFormat="true" ht="13.8" hidden="false" customHeight="false" outlineLevel="0" collapsed="false">
      <c r="A274" s="25" t="n">
        <v>291</v>
      </c>
      <c r="B274" s="32" t="s">
        <v>178</v>
      </c>
      <c r="C274" s="32" t="s">
        <v>25</v>
      </c>
      <c r="D274" s="33" t="s">
        <v>200</v>
      </c>
      <c r="E274" s="32" t="n">
        <v>1986</v>
      </c>
      <c r="F274" s="34" t="n">
        <v>250</v>
      </c>
      <c r="G274" s="35" t="n">
        <v>1</v>
      </c>
      <c r="H274" s="36" t="n">
        <v>10</v>
      </c>
    </row>
    <row r="275" s="37" customFormat="true" ht="13.8" hidden="false" customHeight="false" outlineLevel="0" collapsed="false">
      <c r="A275" s="31" t="n">
        <v>292</v>
      </c>
      <c r="B275" s="32" t="s">
        <v>178</v>
      </c>
      <c r="C275" s="32" t="s">
        <v>25</v>
      </c>
      <c r="D275" s="33" t="s">
        <v>28</v>
      </c>
      <c r="E275" s="32" t="n">
        <v>2001</v>
      </c>
      <c r="F275" s="34" t="n">
        <v>4160</v>
      </c>
      <c r="G275" s="35" t="n">
        <v>3</v>
      </c>
      <c r="H275" s="36" t="n">
        <v>405</v>
      </c>
    </row>
    <row r="276" s="37" customFormat="true" ht="13.8" hidden="false" customHeight="false" outlineLevel="0" collapsed="false">
      <c r="A276" s="25" t="n">
        <v>293</v>
      </c>
      <c r="B276" s="32" t="s">
        <v>178</v>
      </c>
      <c r="C276" s="32" t="s">
        <v>25</v>
      </c>
      <c r="D276" s="33" t="s">
        <v>201</v>
      </c>
      <c r="E276" s="32" t="n">
        <v>1986</v>
      </c>
      <c r="F276" s="34" t="n">
        <v>550</v>
      </c>
      <c r="G276" s="35" t="n">
        <v>1</v>
      </c>
      <c r="H276" s="36" t="n">
        <v>25</v>
      </c>
    </row>
    <row r="277" s="37" customFormat="true" ht="13.8" hidden="false" customHeight="false" outlineLevel="0" collapsed="false">
      <c r="A277" s="31" t="n">
        <v>294</v>
      </c>
      <c r="B277" s="32" t="s">
        <v>178</v>
      </c>
      <c r="C277" s="32" t="s">
        <v>25</v>
      </c>
      <c r="D277" s="33" t="s">
        <v>202</v>
      </c>
      <c r="E277" s="32" t="n">
        <v>1986</v>
      </c>
      <c r="F277" s="34" t="n">
        <v>220</v>
      </c>
      <c r="G277" s="35" t="n">
        <v>3</v>
      </c>
      <c r="H277" s="36" t="n">
        <v>30</v>
      </c>
    </row>
    <row r="278" s="37" customFormat="true" ht="13.8" hidden="false" customHeight="false" outlineLevel="0" collapsed="false">
      <c r="A278" s="25" t="n">
        <v>295</v>
      </c>
      <c r="B278" s="32" t="s">
        <v>178</v>
      </c>
      <c r="C278" s="32" t="s">
        <v>25</v>
      </c>
      <c r="D278" s="33" t="s">
        <v>203</v>
      </c>
      <c r="E278" s="32" t="n">
        <v>1986</v>
      </c>
      <c r="F278" s="34" t="n">
        <v>700</v>
      </c>
      <c r="G278" s="35" t="n">
        <v>1</v>
      </c>
      <c r="H278" s="36" t="n">
        <v>30</v>
      </c>
    </row>
    <row r="279" s="37" customFormat="true" ht="13.8" hidden="false" customHeight="false" outlineLevel="0" collapsed="false">
      <c r="A279" s="31" t="n">
        <v>296</v>
      </c>
      <c r="B279" s="32" t="s">
        <v>178</v>
      </c>
      <c r="C279" s="32" t="s">
        <v>25</v>
      </c>
      <c r="D279" s="33" t="s">
        <v>154</v>
      </c>
      <c r="E279" s="32" t="n">
        <v>1986</v>
      </c>
      <c r="F279" s="34" t="n">
        <v>720</v>
      </c>
      <c r="G279" s="35" t="n">
        <v>2</v>
      </c>
      <c r="H279" s="36" t="n">
        <v>60</v>
      </c>
    </row>
    <row r="280" s="37" customFormat="true" ht="13.8" hidden="false" customHeight="false" outlineLevel="0" collapsed="false">
      <c r="A280" s="25" t="n">
        <v>297</v>
      </c>
      <c r="B280" s="32" t="s">
        <v>178</v>
      </c>
      <c r="C280" s="32" t="s">
        <v>25</v>
      </c>
      <c r="D280" s="33" t="s">
        <v>204</v>
      </c>
      <c r="E280" s="32" t="n">
        <v>1986</v>
      </c>
      <c r="F280" s="34" t="n">
        <v>170</v>
      </c>
      <c r="G280" s="35" t="n">
        <v>1</v>
      </c>
      <c r="H280" s="36" t="n">
        <v>5</v>
      </c>
    </row>
    <row r="281" s="37" customFormat="true" ht="13.8" hidden="false" customHeight="false" outlineLevel="0" collapsed="false">
      <c r="A281" s="31" t="n">
        <v>298</v>
      </c>
      <c r="B281" s="32" t="s">
        <v>178</v>
      </c>
      <c r="C281" s="32" t="s">
        <v>25</v>
      </c>
      <c r="D281" s="33" t="s">
        <v>127</v>
      </c>
      <c r="E281" s="32" t="n">
        <v>2001</v>
      </c>
      <c r="F281" s="34" t="n">
        <v>4680</v>
      </c>
      <c r="G281" s="35" t="n">
        <v>4</v>
      </c>
      <c r="H281" s="36" t="n">
        <v>600</v>
      </c>
    </row>
    <row r="282" s="37" customFormat="true" ht="13.8" hidden="false" customHeight="false" outlineLevel="0" collapsed="false">
      <c r="A282" s="25" t="n">
        <v>299</v>
      </c>
      <c r="B282" s="32" t="s">
        <v>178</v>
      </c>
      <c r="C282" s="32" t="s">
        <v>25</v>
      </c>
      <c r="D282" s="33" t="s">
        <v>205</v>
      </c>
      <c r="E282" s="32" t="n">
        <v>2001</v>
      </c>
      <c r="F282" s="34" t="n">
        <v>600</v>
      </c>
      <c r="G282" s="35" t="n">
        <v>1</v>
      </c>
      <c r="H282" s="36" t="n">
        <v>30</v>
      </c>
    </row>
    <row r="283" s="37" customFormat="true" ht="13.8" hidden="false" customHeight="false" outlineLevel="0" collapsed="false">
      <c r="A283" s="31" t="n">
        <v>300</v>
      </c>
      <c r="B283" s="32" t="s">
        <v>178</v>
      </c>
      <c r="C283" s="32" t="s">
        <v>25</v>
      </c>
      <c r="D283" s="33" t="s">
        <v>28</v>
      </c>
      <c r="E283" s="32" t="n">
        <v>2001</v>
      </c>
      <c r="F283" s="34" t="n">
        <v>4160</v>
      </c>
      <c r="G283" s="35" t="n">
        <v>1</v>
      </c>
      <c r="H283" s="36" t="n">
        <v>140</v>
      </c>
    </row>
    <row r="284" s="37" customFormat="true" ht="13.8" hidden="false" customHeight="false" outlineLevel="0" collapsed="false">
      <c r="A284" s="31" t="n">
        <v>304</v>
      </c>
      <c r="B284" s="32" t="s">
        <v>206</v>
      </c>
      <c r="C284" s="32" t="str">
        <f aca="false">"0861847"</f>
        <v>0861847</v>
      </c>
      <c r="D284" s="33" t="s">
        <v>207</v>
      </c>
      <c r="E284" s="32" t="n">
        <v>1977</v>
      </c>
      <c r="F284" s="34" t="n">
        <v>6465.47</v>
      </c>
      <c r="G284" s="35" t="n">
        <v>2</v>
      </c>
      <c r="H284" s="36" t="n">
        <v>520</v>
      </c>
    </row>
    <row r="285" s="37" customFormat="true" ht="13.8" hidden="false" customHeight="false" outlineLevel="0" collapsed="false">
      <c r="A285" s="31" t="n">
        <v>306</v>
      </c>
      <c r="B285" s="32" t="s">
        <v>206</v>
      </c>
      <c r="C285" s="32" t="str">
        <f aca="false">"0862169"</f>
        <v>0862169</v>
      </c>
      <c r="D285" s="33" t="s">
        <v>208</v>
      </c>
      <c r="E285" s="32" t="n">
        <v>1986</v>
      </c>
      <c r="F285" s="34" t="n">
        <v>1864.7</v>
      </c>
      <c r="G285" s="35" t="n">
        <v>5</v>
      </c>
      <c r="H285" s="36" t="n">
        <v>450</v>
      </c>
    </row>
    <row r="286" s="37" customFormat="true" ht="13.8" hidden="false" customHeight="false" outlineLevel="0" collapsed="false">
      <c r="A286" s="25" t="n">
        <v>307</v>
      </c>
      <c r="B286" s="32" t="s">
        <v>206</v>
      </c>
      <c r="C286" s="32" t="str">
        <f aca="false">"0862215"</f>
        <v>0862215</v>
      </c>
      <c r="D286" s="33" t="s">
        <v>209</v>
      </c>
      <c r="E286" s="32" t="n">
        <v>1986</v>
      </c>
      <c r="F286" s="34" t="n">
        <v>9238.38</v>
      </c>
      <c r="G286" s="35" t="n">
        <v>1</v>
      </c>
      <c r="H286" s="36" t="n">
        <v>450</v>
      </c>
    </row>
    <row r="287" s="37" customFormat="true" ht="13.8" hidden="false" customHeight="false" outlineLevel="0" collapsed="false">
      <c r="A287" s="25" t="n">
        <v>309</v>
      </c>
      <c r="B287" s="32" t="s">
        <v>206</v>
      </c>
      <c r="C287" s="32" t="str">
        <f aca="false">"0855669"</f>
        <v>0855669</v>
      </c>
      <c r="D287" s="33" t="s">
        <v>210</v>
      </c>
      <c r="E287" s="32" t="n">
        <v>1961</v>
      </c>
      <c r="F287" s="34" t="n">
        <f aca="false">4524.73*1.2</f>
        <v>5429.676</v>
      </c>
      <c r="G287" s="35" t="n">
        <v>1</v>
      </c>
      <c r="H287" s="36" t="n">
        <v>135</v>
      </c>
    </row>
    <row r="288" s="37" customFormat="true" ht="13.8" hidden="false" customHeight="false" outlineLevel="0" collapsed="false">
      <c r="A288" s="31" t="n">
        <v>310</v>
      </c>
      <c r="B288" s="32" t="s">
        <v>206</v>
      </c>
      <c r="C288" s="32" t="str">
        <f aca="false">"0855677"</f>
        <v>0855677</v>
      </c>
      <c r="D288" s="33" t="s">
        <v>211</v>
      </c>
      <c r="E288" s="32" t="n">
        <v>1962</v>
      </c>
      <c r="F288" s="34" t="n">
        <f aca="false">43419.68*1.2</f>
        <v>52103.616</v>
      </c>
      <c r="G288" s="35" t="n">
        <v>1</v>
      </c>
      <c r="H288" s="36" t="n">
        <v>1340</v>
      </c>
    </row>
    <row r="289" s="37" customFormat="true" ht="13.8" hidden="false" customHeight="false" outlineLevel="0" collapsed="false">
      <c r="A289" s="25" t="n">
        <v>311</v>
      </c>
      <c r="B289" s="32" t="s">
        <v>206</v>
      </c>
      <c r="C289" s="32" t="str">
        <f aca="false">"0855685"</f>
        <v>0855685</v>
      </c>
      <c r="D289" s="33" t="s">
        <v>212</v>
      </c>
      <c r="E289" s="32" t="n">
        <v>1962</v>
      </c>
      <c r="F289" s="34" t="n">
        <f aca="false">293366.57*1.2</f>
        <v>352039.884</v>
      </c>
      <c r="G289" s="35" t="n">
        <v>1</v>
      </c>
      <c r="H289" s="36" t="n">
        <v>9100</v>
      </c>
    </row>
    <row r="290" s="37" customFormat="true" ht="13.8" hidden="false" customHeight="false" outlineLevel="0" collapsed="false">
      <c r="A290" s="31" t="n">
        <v>312</v>
      </c>
      <c r="B290" s="32" t="s">
        <v>206</v>
      </c>
      <c r="C290" s="32" t="str">
        <f aca="false">"0855715"</f>
        <v>0855715</v>
      </c>
      <c r="D290" s="33" t="s">
        <v>213</v>
      </c>
      <c r="E290" s="32" t="n">
        <v>1962</v>
      </c>
      <c r="F290" s="34" t="n">
        <f aca="false">15733.38*1.2</f>
        <v>18880.056</v>
      </c>
      <c r="G290" s="35" t="n">
        <v>1</v>
      </c>
      <c r="H290" s="36" t="n">
        <v>480</v>
      </c>
    </row>
    <row r="291" s="37" customFormat="true" ht="13.8" hidden="false" customHeight="false" outlineLevel="0" collapsed="false">
      <c r="A291" s="25" t="n">
        <v>313</v>
      </c>
      <c r="B291" s="32" t="s">
        <v>206</v>
      </c>
      <c r="C291" s="32" t="str">
        <f aca="false">"0855731"</f>
        <v>0855731</v>
      </c>
      <c r="D291" s="33" t="s">
        <v>214</v>
      </c>
      <c r="E291" s="32" t="n">
        <v>1963</v>
      </c>
      <c r="F291" s="34" t="n">
        <f aca="false">671245.03*1.2</f>
        <v>805494.036</v>
      </c>
      <c r="G291" s="35" t="n">
        <v>1</v>
      </c>
      <c r="H291" s="36" t="n">
        <v>21400</v>
      </c>
    </row>
    <row r="292" s="37" customFormat="true" ht="13.8" hidden="false" customHeight="false" outlineLevel="0" collapsed="false">
      <c r="A292" s="31" t="n">
        <v>314</v>
      </c>
      <c r="B292" s="32" t="s">
        <v>206</v>
      </c>
      <c r="C292" s="32" t="str">
        <f aca="false">"0855766"</f>
        <v>0855766</v>
      </c>
      <c r="D292" s="33" t="s">
        <v>215</v>
      </c>
      <c r="E292" s="32" t="n">
        <v>1965</v>
      </c>
      <c r="F292" s="34" t="n">
        <f aca="false">45933.28*1.2</f>
        <v>55119.936</v>
      </c>
      <c r="G292" s="35" t="n">
        <v>1</v>
      </c>
      <c r="H292" s="36" t="n">
        <v>2100</v>
      </c>
    </row>
    <row r="293" s="37" customFormat="true" ht="13.8" hidden="false" customHeight="false" outlineLevel="0" collapsed="false">
      <c r="A293" s="25" t="n">
        <v>315</v>
      </c>
      <c r="B293" s="32" t="s">
        <v>206</v>
      </c>
      <c r="C293" s="32" t="str">
        <f aca="false">"0855782"</f>
        <v>0855782</v>
      </c>
      <c r="D293" s="33" t="s">
        <v>216</v>
      </c>
      <c r="E293" s="32" t="n">
        <v>1965</v>
      </c>
      <c r="F293" s="34" t="n">
        <f aca="false">11300*1.2</f>
        <v>13560</v>
      </c>
      <c r="G293" s="35" t="n">
        <v>1</v>
      </c>
      <c r="H293" s="36" t="n">
        <v>500</v>
      </c>
    </row>
    <row r="294" s="37" customFormat="true" ht="13.8" hidden="false" customHeight="false" outlineLevel="0" collapsed="false">
      <c r="A294" s="31" t="n">
        <v>316</v>
      </c>
      <c r="B294" s="32" t="s">
        <v>206</v>
      </c>
      <c r="C294" s="32" t="str">
        <f aca="false">"0855847"</f>
        <v>0855847</v>
      </c>
      <c r="D294" s="33" t="s">
        <v>217</v>
      </c>
      <c r="E294" s="32" t="n">
        <v>1948</v>
      </c>
      <c r="F294" s="34" t="n">
        <f aca="false">18450*7.5</f>
        <v>138375</v>
      </c>
      <c r="G294" s="35" t="n">
        <v>1</v>
      </c>
      <c r="H294" s="36" t="n">
        <v>1680</v>
      </c>
    </row>
    <row r="295" s="37" customFormat="true" ht="13.8" hidden="false" customHeight="false" outlineLevel="0" collapsed="false">
      <c r="A295" s="25" t="n">
        <v>317</v>
      </c>
      <c r="B295" s="32" t="s">
        <v>206</v>
      </c>
      <c r="C295" s="32" t="str">
        <f aca="false">"0855863"</f>
        <v>0855863</v>
      </c>
      <c r="D295" s="33" t="s">
        <v>218</v>
      </c>
      <c r="E295" s="32" t="n">
        <v>1950</v>
      </c>
      <c r="F295" s="34" t="n">
        <f aca="false">4250*7.5</f>
        <v>31875</v>
      </c>
      <c r="G295" s="35" t="n">
        <v>1</v>
      </c>
      <c r="H295" s="36" t="n">
        <v>450</v>
      </c>
    </row>
    <row r="296" s="37" customFormat="true" ht="13.8" hidden="false" customHeight="false" outlineLevel="0" collapsed="false">
      <c r="A296" s="31" t="n">
        <v>318</v>
      </c>
      <c r="B296" s="32" t="s">
        <v>206</v>
      </c>
      <c r="C296" s="32" t="str">
        <f aca="false">"0862274"</f>
        <v>0862274</v>
      </c>
      <c r="D296" s="33" t="s">
        <v>219</v>
      </c>
      <c r="E296" s="32" t="n">
        <v>1986</v>
      </c>
      <c r="F296" s="34" t="n">
        <v>2639.05</v>
      </c>
      <c r="G296" s="35" t="n">
        <v>3</v>
      </c>
      <c r="H296" s="36" t="n">
        <v>390</v>
      </c>
    </row>
    <row r="297" s="37" customFormat="true" ht="13.8" hidden="false" customHeight="false" outlineLevel="0" collapsed="false">
      <c r="A297" s="25" t="n">
        <v>319</v>
      </c>
      <c r="B297" s="32" t="s">
        <v>206</v>
      </c>
      <c r="C297" s="32" t="str">
        <f aca="false">"0862304"</f>
        <v>0862304</v>
      </c>
      <c r="D297" s="33" t="s">
        <v>220</v>
      </c>
      <c r="E297" s="32" t="n">
        <v>1986</v>
      </c>
      <c r="F297" s="34" t="n">
        <v>1432.48</v>
      </c>
      <c r="G297" s="35" t="n">
        <v>5</v>
      </c>
      <c r="H297" s="36" t="n">
        <v>350</v>
      </c>
    </row>
    <row r="298" s="37" customFormat="true" ht="13.8" hidden="false" customHeight="false" outlineLevel="0" collapsed="false">
      <c r="A298" s="31" t="n">
        <v>320</v>
      </c>
      <c r="B298" s="32" t="s">
        <v>206</v>
      </c>
      <c r="C298" s="32" t="str">
        <f aca="false">"0862355"</f>
        <v>0862355</v>
      </c>
      <c r="D298" s="33" t="s">
        <v>221</v>
      </c>
      <c r="E298" s="32" t="n">
        <v>1986</v>
      </c>
      <c r="F298" s="34" t="n">
        <v>1554.76</v>
      </c>
      <c r="G298" s="35" t="n">
        <v>2</v>
      </c>
      <c r="H298" s="36" t="n">
        <v>150</v>
      </c>
    </row>
    <row r="299" s="37" customFormat="true" ht="13.8" hidden="false" customHeight="false" outlineLevel="0" collapsed="false">
      <c r="A299" s="25" t="n">
        <v>321</v>
      </c>
      <c r="B299" s="32" t="s">
        <v>206</v>
      </c>
      <c r="C299" s="32" t="str">
        <f aca="false">"0856215"</f>
        <v>0856215</v>
      </c>
      <c r="D299" s="33" t="s">
        <v>222</v>
      </c>
      <c r="E299" s="32" t="n">
        <v>1971</v>
      </c>
      <c r="F299" s="34" t="n">
        <f aca="false">85929.61*1.2</f>
        <v>103115.532</v>
      </c>
      <c r="G299" s="35" t="n">
        <v>2</v>
      </c>
      <c r="H299" s="36" t="n">
        <v>7060</v>
      </c>
    </row>
    <row r="300" s="37" customFormat="true" ht="13.8" hidden="false" customHeight="false" outlineLevel="0" collapsed="false">
      <c r="A300" s="31" t="n">
        <v>322</v>
      </c>
      <c r="B300" s="32" t="s">
        <v>206</v>
      </c>
      <c r="C300" s="32" t="str">
        <f aca="false">"0856371"</f>
        <v>0856371</v>
      </c>
      <c r="D300" s="33" t="s">
        <v>223</v>
      </c>
      <c r="E300" s="32" t="n">
        <v>1971</v>
      </c>
      <c r="F300" s="34" t="n">
        <v>3826.57</v>
      </c>
      <c r="G300" s="35" t="n">
        <v>1</v>
      </c>
      <c r="H300" s="36" t="n">
        <v>130</v>
      </c>
    </row>
    <row r="301" s="37" customFormat="true" ht="13.8" hidden="false" customHeight="false" outlineLevel="0" collapsed="false">
      <c r="A301" s="25" t="n">
        <v>323</v>
      </c>
      <c r="B301" s="32" t="s">
        <v>206</v>
      </c>
      <c r="C301" s="32" t="str">
        <f aca="false">"0862673"</f>
        <v>0862673</v>
      </c>
      <c r="D301" s="33" t="s">
        <v>224</v>
      </c>
      <c r="E301" s="32" t="n">
        <v>2001</v>
      </c>
      <c r="F301" s="34" t="n">
        <v>1326</v>
      </c>
      <c r="G301" s="35" t="n">
        <v>1</v>
      </c>
      <c r="H301" s="36" t="n">
        <v>85</v>
      </c>
    </row>
    <row r="302" s="37" customFormat="true" ht="13.8" hidden="false" customHeight="false" outlineLevel="0" collapsed="false">
      <c r="A302" s="25" t="n">
        <v>325</v>
      </c>
      <c r="B302" s="32" t="s">
        <v>206</v>
      </c>
      <c r="C302" s="32" t="str">
        <f aca="false">"0862754"</f>
        <v>0862754</v>
      </c>
      <c r="D302" s="33" t="s">
        <v>225</v>
      </c>
      <c r="E302" s="32" t="n">
        <v>2007</v>
      </c>
      <c r="F302" s="34" t="n">
        <v>3958</v>
      </c>
      <c r="G302" s="35" t="n">
        <v>1</v>
      </c>
      <c r="H302" s="36" t="n">
        <v>440</v>
      </c>
    </row>
    <row r="303" s="37" customFormat="true" ht="13.8" hidden="false" customHeight="false" outlineLevel="0" collapsed="false">
      <c r="A303" s="25" t="n">
        <v>327</v>
      </c>
      <c r="B303" s="32" t="s">
        <v>206</v>
      </c>
      <c r="C303" s="32" t="str">
        <f aca="false">"0862770"</f>
        <v>0862770</v>
      </c>
      <c r="D303" s="33" t="s">
        <v>226</v>
      </c>
      <c r="E303" s="32" t="n">
        <v>2008</v>
      </c>
      <c r="F303" s="34" t="n">
        <v>3499</v>
      </c>
      <c r="G303" s="35" t="n">
        <v>1</v>
      </c>
      <c r="H303" s="36" t="n">
        <v>430</v>
      </c>
    </row>
    <row r="304" s="37" customFormat="true" ht="13.8" hidden="false" customHeight="false" outlineLevel="0" collapsed="false">
      <c r="A304" s="31" t="n">
        <v>328</v>
      </c>
      <c r="B304" s="32" t="s">
        <v>206</v>
      </c>
      <c r="C304" s="32" t="str">
        <f aca="false">"0862789"</f>
        <v>0862789</v>
      </c>
      <c r="D304" s="33" t="s">
        <v>227</v>
      </c>
      <c r="E304" s="32" t="n">
        <v>2008</v>
      </c>
      <c r="F304" s="34" t="n">
        <v>2159</v>
      </c>
      <c r="G304" s="35" t="n">
        <v>2</v>
      </c>
      <c r="H304" s="36" t="n">
        <v>520</v>
      </c>
    </row>
    <row r="305" s="37" customFormat="true" ht="13.8" hidden="false" customHeight="false" outlineLevel="0" collapsed="false">
      <c r="A305" s="25" t="n">
        <v>329</v>
      </c>
      <c r="B305" s="32" t="s">
        <v>206</v>
      </c>
      <c r="C305" s="32" t="str">
        <f aca="false">"0862800"</f>
        <v>0862800</v>
      </c>
      <c r="D305" s="33" t="s">
        <v>228</v>
      </c>
      <c r="E305" s="32" t="n">
        <v>2008</v>
      </c>
      <c r="F305" s="34" t="n">
        <v>6057.8</v>
      </c>
      <c r="G305" s="35" t="n">
        <v>1</v>
      </c>
      <c r="H305" s="36" t="n">
        <v>740</v>
      </c>
    </row>
    <row r="306" s="37" customFormat="true" ht="13.8" hidden="false" customHeight="false" outlineLevel="0" collapsed="false">
      <c r="A306" s="31" t="n">
        <v>330</v>
      </c>
      <c r="B306" s="32" t="s">
        <v>206</v>
      </c>
      <c r="C306" s="32" t="str">
        <f aca="false">"0862843"</f>
        <v>0862843</v>
      </c>
      <c r="D306" s="33" t="s">
        <v>229</v>
      </c>
      <c r="E306" s="32" t="n">
        <v>2008</v>
      </c>
      <c r="F306" s="34" t="n">
        <v>2298.85</v>
      </c>
      <c r="G306" s="35" t="n">
        <v>1</v>
      </c>
      <c r="H306" s="36" t="n">
        <v>280</v>
      </c>
    </row>
    <row r="307" s="37" customFormat="true" ht="13.8" hidden="false" customHeight="false" outlineLevel="0" collapsed="false">
      <c r="A307" s="25" t="n">
        <v>331</v>
      </c>
      <c r="B307" s="32" t="s">
        <v>206</v>
      </c>
      <c r="C307" s="32" t="str">
        <f aca="false">"0856495"</f>
        <v>0856495</v>
      </c>
      <c r="D307" s="33" t="s">
        <v>223</v>
      </c>
      <c r="E307" s="32" t="n">
        <v>1972</v>
      </c>
      <c r="F307" s="34" t="n">
        <f aca="false">3252.47</f>
        <v>3252.47</v>
      </c>
      <c r="G307" s="35" t="n">
        <v>1</v>
      </c>
      <c r="H307" s="36" t="n">
        <v>115</v>
      </c>
    </row>
    <row r="308" s="37" customFormat="true" ht="13.8" hidden="false" customHeight="false" outlineLevel="0" collapsed="false">
      <c r="A308" s="31" t="n">
        <v>332</v>
      </c>
      <c r="B308" s="32" t="s">
        <v>206</v>
      </c>
      <c r="C308" s="32" t="str">
        <f aca="false">"0856509"</f>
        <v>0856509</v>
      </c>
      <c r="D308" s="33" t="s">
        <v>230</v>
      </c>
      <c r="E308" s="32" t="n">
        <v>1972</v>
      </c>
      <c r="F308" s="34" t="n">
        <f aca="false">230627.43*1.2</f>
        <v>276752.916</v>
      </c>
      <c r="G308" s="35" t="n">
        <v>1</v>
      </c>
      <c r="H308" s="36" t="n">
        <v>9740</v>
      </c>
    </row>
    <row r="309" s="37" customFormat="true" ht="13.8" hidden="false" customHeight="false" outlineLevel="0" collapsed="false">
      <c r="A309" s="31" t="n">
        <v>334</v>
      </c>
      <c r="B309" s="32" t="s">
        <v>206</v>
      </c>
      <c r="C309" s="32" t="str">
        <f aca="false">"0856770"</f>
        <v>0856770</v>
      </c>
      <c r="D309" s="33" t="s">
        <v>231</v>
      </c>
      <c r="E309" s="32" t="n">
        <v>1978</v>
      </c>
      <c r="F309" s="34" t="n">
        <f aca="false">31550*7.5</f>
        <v>236625</v>
      </c>
      <c r="G309" s="35" t="n">
        <v>1</v>
      </c>
      <c r="H309" s="36" t="n">
        <v>9700</v>
      </c>
    </row>
    <row r="310" s="37" customFormat="true" ht="13.8" hidden="false" customHeight="false" outlineLevel="0" collapsed="false">
      <c r="A310" s="25" t="n">
        <v>337</v>
      </c>
      <c r="B310" s="32" t="s">
        <v>206</v>
      </c>
      <c r="C310" s="32" t="str">
        <f aca="false">"0856886"</f>
        <v>0856886</v>
      </c>
      <c r="D310" s="33" t="s">
        <v>232</v>
      </c>
      <c r="E310" s="32" t="n">
        <v>1982</v>
      </c>
      <c r="F310" s="34" t="n">
        <f aca="false">424699.84*1.2</f>
        <v>509639.808</v>
      </c>
      <c r="G310" s="35" t="n">
        <v>1</v>
      </c>
      <c r="H310" s="36" t="n">
        <v>22830</v>
      </c>
    </row>
    <row r="311" s="37" customFormat="true" ht="13.8" hidden="false" customHeight="false" outlineLevel="0" collapsed="false">
      <c r="A311" s="31" t="n">
        <v>338</v>
      </c>
      <c r="B311" s="32" t="s">
        <v>206</v>
      </c>
      <c r="C311" s="32" t="str">
        <f aca="false">"0862860"</f>
        <v>0862860</v>
      </c>
      <c r="D311" s="33" t="s">
        <v>233</v>
      </c>
      <c r="E311" s="32" t="n">
        <v>2009</v>
      </c>
      <c r="F311" s="34" t="n">
        <v>18220</v>
      </c>
      <c r="G311" s="35" t="n">
        <v>2</v>
      </c>
      <c r="H311" s="36" t="n">
        <v>5020</v>
      </c>
    </row>
    <row r="312" s="37" customFormat="true" ht="13.8" hidden="false" customHeight="false" outlineLevel="0" collapsed="false">
      <c r="A312" s="25" t="n">
        <v>339</v>
      </c>
      <c r="B312" s="32" t="s">
        <v>206</v>
      </c>
      <c r="C312" s="32" t="str">
        <f aca="false">"0862886"</f>
        <v>0862886</v>
      </c>
      <c r="D312" s="33" t="s">
        <v>234</v>
      </c>
      <c r="E312" s="32" t="n">
        <v>2009</v>
      </c>
      <c r="F312" s="34" t="n">
        <v>5620</v>
      </c>
      <c r="G312" s="35" t="n">
        <v>6</v>
      </c>
      <c r="H312" s="36" t="n">
        <v>4620</v>
      </c>
    </row>
    <row r="313" s="37" customFormat="true" ht="13.8" hidden="false" customHeight="false" outlineLevel="0" collapsed="false">
      <c r="A313" s="31" t="n">
        <v>340</v>
      </c>
      <c r="B313" s="32" t="s">
        <v>206</v>
      </c>
      <c r="C313" s="32" t="str">
        <f aca="false">"0863009"</f>
        <v>0863009</v>
      </c>
      <c r="D313" s="33" t="s">
        <v>235</v>
      </c>
      <c r="E313" s="32" t="n">
        <v>2009</v>
      </c>
      <c r="F313" s="34" t="n">
        <v>32156</v>
      </c>
      <c r="G313" s="35" t="n">
        <v>2</v>
      </c>
      <c r="H313" s="36" t="n">
        <v>8860</v>
      </c>
    </row>
    <row r="314" s="37" customFormat="true" ht="13.8" hidden="false" customHeight="false" outlineLevel="0" collapsed="false">
      <c r="A314" s="25" t="n">
        <v>341</v>
      </c>
      <c r="B314" s="32" t="s">
        <v>206</v>
      </c>
      <c r="C314" s="32" t="str">
        <f aca="false">"0863157"</f>
        <v>0863157</v>
      </c>
      <c r="D314" s="33" t="s">
        <v>236</v>
      </c>
      <c r="E314" s="32" t="n">
        <v>2009</v>
      </c>
      <c r="F314" s="34" t="n">
        <v>17235</v>
      </c>
      <c r="G314" s="35" t="n">
        <v>1</v>
      </c>
      <c r="H314" s="36" t="n">
        <v>2370</v>
      </c>
    </row>
    <row r="315" s="37" customFormat="true" ht="13.8" hidden="false" customHeight="false" outlineLevel="0" collapsed="false">
      <c r="A315" s="31" t="n">
        <v>342</v>
      </c>
      <c r="B315" s="32" t="s">
        <v>206</v>
      </c>
      <c r="C315" s="32" t="str">
        <f aca="false">"0856959"</f>
        <v>0856959</v>
      </c>
      <c r="D315" s="33" t="s">
        <v>237</v>
      </c>
      <c r="E315" s="32" t="n">
        <v>1984</v>
      </c>
      <c r="F315" s="34" t="n">
        <f aca="false">98185.95*1.2</f>
        <v>117823.14</v>
      </c>
      <c r="G315" s="35" t="n">
        <v>1</v>
      </c>
      <c r="H315" s="36" t="n">
        <v>5500</v>
      </c>
    </row>
    <row r="316" s="37" customFormat="true" ht="13.8" hidden="false" customHeight="false" outlineLevel="0" collapsed="false">
      <c r="A316" s="31" t="n">
        <v>344</v>
      </c>
      <c r="B316" s="32" t="s">
        <v>206</v>
      </c>
      <c r="C316" s="32" t="str">
        <f aca="false">"0857211"</f>
        <v>0857211</v>
      </c>
      <c r="D316" s="33" t="s">
        <v>238</v>
      </c>
      <c r="E316" s="32" t="n">
        <v>1986</v>
      </c>
      <c r="F316" s="34" t="n">
        <f aca="false">9877.89*1.2</f>
        <v>11853.468</v>
      </c>
      <c r="G316" s="35" t="n">
        <v>1</v>
      </c>
      <c r="H316" s="36" t="n">
        <v>580</v>
      </c>
    </row>
    <row r="317" s="37" customFormat="true" ht="13.8" hidden="false" customHeight="false" outlineLevel="0" collapsed="false">
      <c r="A317" s="31" t="n">
        <v>346</v>
      </c>
      <c r="B317" s="32" t="s">
        <v>206</v>
      </c>
      <c r="C317" s="32" t="str">
        <f aca="false">"0863173"</f>
        <v>0863173</v>
      </c>
      <c r="D317" s="33" t="s">
        <v>239</v>
      </c>
      <c r="E317" s="32" t="n">
        <v>2012</v>
      </c>
      <c r="F317" s="34" t="n">
        <v>4100</v>
      </c>
      <c r="G317" s="35" t="n">
        <v>1</v>
      </c>
      <c r="H317" s="36" t="n">
        <v>970</v>
      </c>
    </row>
    <row r="318" s="37" customFormat="true" ht="13.8" hidden="false" customHeight="false" outlineLevel="0" collapsed="false">
      <c r="A318" s="25" t="n">
        <v>349</v>
      </c>
      <c r="B318" s="32" t="s">
        <v>206</v>
      </c>
      <c r="C318" s="32" t="str">
        <f aca="false">"0857394"</f>
        <v>0857394</v>
      </c>
      <c r="D318" s="33" t="s">
        <v>240</v>
      </c>
      <c r="E318" s="32" t="n">
        <v>1986</v>
      </c>
      <c r="F318" s="34" t="n">
        <f aca="false">296221.26*1.2</f>
        <v>355465.512</v>
      </c>
      <c r="G318" s="35" t="n">
        <v>1</v>
      </c>
      <c r="H318" s="36" t="n">
        <v>17290</v>
      </c>
    </row>
    <row r="319" s="37" customFormat="true" ht="13.8" hidden="false" customHeight="false" outlineLevel="0" collapsed="false">
      <c r="A319" s="25" t="n">
        <v>351</v>
      </c>
      <c r="B319" s="32" t="s">
        <v>206</v>
      </c>
      <c r="C319" s="32" t="str">
        <f aca="false">"0857416"</f>
        <v>0857416</v>
      </c>
      <c r="D319" s="33" t="s">
        <v>241</v>
      </c>
      <c r="E319" s="32" t="n">
        <v>1986</v>
      </c>
      <c r="F319" s="34" t="n">
        <v>2441</v>
      </c>
      <c r="G319" s="35" t="n">
        <v>1</v>
      </c>
      <c r="H319" s="36" t="n">
        <v>120</v>
      </c>
    </row>
    <row r="320" s="37" customFormat="true" ht="13.8" hidden="false" customHeight="false" outlineLevel="0" collapsed="false">
      <c r="A320" s="31" t="n">
        <v>356</v>
      </c>
      <c r="B320" s="32" t="s">
        <v>206</v>
      </c>
      <c r="C320" s="32" t="str">
        <f aca="false">"0857769"</f>
        <v>0857769</v>
      </c>
      <c r="D320" s="33" t="s">
        <v>242</v>
      </c>
      <c r="E320" s="32" t="n">
        <v>1990</v>
      </c>
      <c r="F320" s="34" t="n">
        <f aca="false">11300*7.5</f>
        <v>84750</v>
      </c>
      <c r="G320" s="35" t="n">
        <v>1</v>
      </c>
      <c r="H320" s="36" t="n">
        <v>5900</v>
      </c>
    </row>
    <row r="321" s="37" customFormat="true" ht="13.8" hidden="false" customHeight="false" outlineLevel="0" collapsed="false">
      <c r="A321" s="25" t="n">
        <v>357</v>
      </c>
      <c r="B321" s="32" t="s">
        <v>206</v>
      </c>
      <c r="C321" s="32" t="str">
        <f aca="false">"0857840"</f>
        <v>0857840</v>
      </c>
      <c r="D321" s="33" t="s">
        <v>243</v>
      </c>
      <c r="E321" s="32" t="n">
        <v>1990</v>
      </c>
      <c r="F321" s="34" t="n">
        <v>20000</v>
      </c>
      <c r="G321" s="35" t="n">
        <v>1</v>
      </c>
      <c r="H321" s="36" t="n">
        <v>980</v>
      </c>
    </row>
    <row r="322" s="37" customFormat="true" ht="13.8" hidden="false" customHeight="false" outlineLevel="0" collapsed="false">
      <c r="A322" s="31" t="n">
        <v>360</v>
      </c>
      <c r="B322" s="32" t="s">
        <v>206</v>
      </c>
      <c r="C322" s="32" t="str">
        <f aca="false">"0857998"</f>
        <v>0857998</v>
      </c>
      <c r="D322" s="33" t="s">
        <v>244</v>
      </c>
      <c r="E322" s="32" t="n">
        <v>1996</v>
      </c>
      <c r="F322" s="34" t="n">
        <v>15642</v>
      </c>
      <c r="G322" s="35" t="n">
        <v>1</v>
      </c>
      <c r="H322" s="36" t="n">
        <v>920</v>
      </c>
    </row>
    <row r="323" s="37" customFormat="true" ht="13.8" hidden="false" customHeight="false" outlineLevel="0" collapsed="false">
      <c r="A323" s="25" t="n">
        <v>361</v>
      </c>
      <c r="B323" s="32" t="s">
        <v>206</v>
      </c>
      <c r="C323" s="32" t="str">
        <f aca="false">"0858749"</f>
        <v>0858749</v>
      </c>
      <c r="D323" s="33" t="s">
        <v>245</v>
      </c>
      <c r="E323" s="32" t="n">
        <v>2001</v>
      </c>
      <c r="F323" s="34" t="n">
        <v>1100</v>
      </c>
      <c r="G323" s="35" t="n">
        <v>1</v>
      </c>
      <c r="H323" s="36" t="n">
        <v>70</v>
      </c>
    </row>
    <row r="324" s="37" customFormat="true" ht="13.8" hidden="false" customHeight="false" outlineLevel="0" collapsed="false">
      <c r="A324" s="31" t="n">
        <v>364</v>
      </c>
      <c r="B324" s="32" t="s">
        <v>206</v>
      </c>
      <c r="C324" s="32" t="str">
        <f aca="false">"0858960"</f>
        <v>0858960</v>
      </c>
      <c r="D324" s="33" t="s">
        <v>246</v>
      </c>
      <c r="E324" s="32" t="n">
        <v>2002</v>
      </c>
      <c r="F324" s="34" t="n">
        <v>4981.16</v>
      </c>
      <c r="G324" s="35" t="n">
        <v>1</v>
      </c>
      <c r="H324" s="36" t="n">
        <v>320</v>
      </c>
    </row>
    <row r="325" s="37" customFormat="true" ht="13.8" hidden="false" customHeight="false" outlineLevel="0" collapsed="false">
      <c r="A325" s="25" t="n">
        <v>365</v>
      </c>
      <c r="B325" s="32" t="s">
        <v>206</v>
      </c>
      <c r="C325" s="32" t="str">
        <f aca="false">"0859052"</f>
        <v>0859052</v>
      </c>
      <c r="D325" s="33" t="s">
        <v>247</v>
      </c>
      <c r="E325" s="32" t="n">
        <v>2002</v>
      </c>
      <c r="F325" s="34" t="n">
        <v>3969.95</v>
      </c>
      <c r="G325" s="35" t="n">
        <v>2</v>
      </c>
      <c r="H325" s="36" t="n">
        <v>520</v>
      </c>
    </row>
    <row r="326" s="37" customFormat="true" ht="13.8" hidden="false" customHeight="false" outlineLevel="0" collapsed="false">
      <c r="A326" s="31" t="n">
        <v>366</v>
      </c>
      <c r="B326" s="32" t="s">
        <v>206</v>
      </c>
      <c r="C326" s="32" t="str">
        <f aca="false">"0859567"</f>
        <v>0859567</v>
      </c>
      <c r="D326" s="33" t="s">
        <v>184</v>
      </c>
      <c r="E326" s="32" t="n">
        <v>2006</v>
      </c>
      <c r="F326" s="34" t="n">
        <v>3600</v>
      </c>
      <c r="G326" s="35" t="n">
        <v>3</v>
      </c>
      <c r="H326" s="36" t="n">
        <v>690</v>
      </c>
    </row>
    <row r="327" s="37" customFormat="true" ht="13.8" hidden="false" customHeight="false" outlineLevel="0" collapsed="false">
      <c r="A327" s="25" t="n">
        <v>367</v>
      </c>
      <c r="B327" s="32" t="s">
        <v>206</v>
      </c>
      <c r="C327" s="32" t="str">
        <f aca="false">"0859630"</f>
        <v>0859630</v>
      </c>
      <c r="D327" s="33" t="s">
        <v>248</v>
      </c>
      <c r="E327" s="32" t="n">
        <v>2006</v>
      </c>
      <c r="F327" s="34" t="n">
        <v>3400</v>
      </c>
      <c r="G327" s="35" t="n">
        <v>1</v>
      </c>
      <c r="H327" s="36" t="n">
        <v>220</v>
      </c>
    </row>
    <row r="328" s="37" customFormat="true" ht="13.8" hidden="false" customHeight="false" outlineLevel="0" collapsed="false">
      <c r="A328" s="31" t="n">
        <v>368</v>
      </c>
      <c r="B328" s="32" t="s">
        <v>206</v>
      </c>
      <c r="C328" s="32" t="str">
        <f aca="false">"0859656"</f>
        <v>0859656</v>
      </c>
      <c r="D328" s="33" t="s">
        <v>249</v>
      </c>
      <c r="E328" s="32" t="n">
        <v>2006</v>
      </c>
      <c r="F328" s="34" t="n">
        <v>7010.7</v>
      </c>
      <c r="G328" s="35" t="n">
        <v>1</v>
      </c>
      <c r="H328" s="36" t="n">
        <v>600</v>
      </c>
    </row>
    <row r="329" s="37" customFormat="true" ht="13.8" hidden="false" customHeight="false" outlineLevel="0" collapsed="false">
      <c r="A329" s="31" t="n">
        <v>370</v>
      </c>
      <c r="B329" s="32" t="s">
        <v>206</v>
      </c>
      <c r="C329" s="32" t="str">
        <f aca="false">"0859885"</f>
        <v>0859885</v>
      </c>
      <c r="D329" s="33" t="s">
        <v>250</v>
      </c>
      <c r="E329" s="32" t="n">
        <v>2008</v>
      </c>
      <c r="F329" s="34" t="n">
        <v>313448.76</v>
      </c>
      <c r="G329" s="35" t="n">
        <v>1</v>
      </c>
      <c r="H329" s="36" t="n">
        <v>38120</v>
      </c>
    </row>
    <row r="330" s="37" customFormat="true" ht="13.8" hidden="false" customHeight="false" outlineLevel="0" collapsed="false">
      <c r="A330" s="31" t="n">
        <v>372</v>
      </c>
      <c r="B330" s="32" t="s">
        <v>206</v>
      </c>
      <c r="C330" s="32" t="str">
        <f aca="false">"0859990"</f>
        <v>0859990</v>
      </c>
      <c r="D330" s="33" t="s">
        <v>251</v>
      </c>
      <c r="E330" s="32" t="n">
        <v>2008</v>
      </c>
      <c r="F330" s="34" t="n">
        <v>3700</v>
      </c>
      <c r="G330" s="35" t="n">
        <v>5</v>
      </c>
      <c r="H330" s="36" t="n">
        <v>2250</v>
      </c>
    </row>
    <row r="331" s="37" customFormat="true" ht="13.8" hidden="false" customHeight="false" outlineLevel="0" collapsed="false">
      <c r="A331" s="25" t="n">
        <v>373</v>
      </c>
      <c r="B331" s="32" t="s">
        <v>206</v>
      </c>
      <c r="C331" s="32" t="str">
        <f aca="false">"0860107"</f>
        <v>0860107</v>
      </c>
      <c r="D331" s="33" t="s">
        <v>252</v>
      </c>
      <c r="E331" s="32" t="n">
        <v>2009</v>
      </c>
      <c r="F331" s="34" t="n">
        <v>6375</v>
      </c>
      <c r="G331" s="35" t="n">
        <v>12</v>
      </c>
      <c r="H331" s="36" t="n">
        <v>10560</v>
      </c>
    </row>
    <row r="332" s="37" customFormat="true" ht="13.8" hidden="false" customHeight="false" outlineLevel="0" collapsed="false">
      <c r="A332" s="31" t="n">
        <v>374</v>
      </c>
      <c r="B332" s="32" t="s">
        <v>206</v>
      </c>
      <c r="C332" s="32" t="str">
        <f aca="false">"0860247"</f>
        <v>0860247</v>
      </c>
      <c r="D332" s="33" t="s">
        <v>253</v>
      </c>
      <c r="E332" s="32" t="n">
        <v>2009</v>
      </c>
      <c r="F332" s="34" t="n">
        <v>6600</v>
      </c>
      <c r="G332" s="35" t="n">
        <v>3</v>
      </c>
      <c r="H332" s="36" t="n">
        <v>2730</v>
      </c>
    </row>
    <row r="333" s="37" customFormat="true" ht="13.8" hidden="false" customHeight="false" outlineLevel="0" collapsed="false">
      <c r="A333" s="25" t="n">
        <v>375</v>
      </c>
      <c r="B333" s="32" t="s">
        <v>206</v>
      </c>
      <c r="C333" s="32" t="str">
        <f aca="false">"0860352"</f>
        <v>0860352</v>
      </c>
      <c r="D333" s="33" t="s">
        <v>254</v>
      </c>
      <c r="E333" s="32" t="n">
        <v>2009</v>
      </c>
      <c r="F333" s="34" t="n">
        <v>5562.6</v>
      </c>
      <c r="G333" s="35" t="n">
        <v>4</v>
      </c>
      <c r="H333" s="36" t="n">
        <v>3080</v>
      </c>
    </row>
    <row r="334" s="37" customFormat="true" ht="13.8" hidden="false" customHeight="false" outlineLevel="0" collapsed="false">
      <c r="A334" s="25" t="n">
        <v>377</v>
      </c>
      <c r="B334" s="32" t="s">
        <v>206</v>
      </c>
      <c r="C334" s="32" t="str">
        <f aca="false">"0860760"</f>
        <v>0860760</v>
      </c>
      <c r="D334" s="33" t="s">
        <v>255</v>
      </c>
      <c r="E334" s="32" t="n">
        <v>1972</v>
      </c>
      <c r="F334" s="34" t="n">
        <f aca="false">7449.3*1.2</f>
        <v>8939.16</v>
      </c>
      <c r="G334" s="35" t="n">
        <v>1</v>
      </c>
      <c r="H334" s="36" t="n">
        <v>315</v>
      </c>
    </row>
    <row r="335" s="37" customFormat="true" ht="13.8" hidden="false" customHeight="false" outlineLevel="0" collapsed="false">
      <c r="A335" s="31" t="n">
        <v>378</v>
      </c>
      <c r="B335" s="32" t="s">
        <v>206</v>
      </c>
      <c r="C335" s="32" t="str">
        <f aca="false">"0860786"</f>
        <v>0860786</v>
      </c>
      <c r="D335" s="33" t="s">
        <v>256</v>
      </c>
      <c r="E335" s="32" t="n">
        <v>1977</v>
      </c>
      <c r="F335" s="34" t="n">
        <f aca="false">66314.91*1.2</f>
        <v>79577.892</v>
      </c>
      <c r="G335" s="35" t="n">
        <v>1</v>
      </c>
      <c r="H335" s="36" t="n">
        <v>3180</v>
      </c>
    </row>
    <row r="336" s="37" customFormat="true" ht="13.8" hidden="false" customHeight="false" outlineLevel="0" collapsed="false">
      <c r="A336" s="25" t="n">
        <v>379</v>
      </c>
      <c r="B336" s="32" t="s">
        <v>206</v>
      </c>
      <c r="C336" s="32" t="str">
        <f aca="false">"0860794"</f>
        <v>0860794</v>
      </c>
      <c r="D336" s="33" t="s">
        <v>257</v>
      </c>
      <c r="E336" s="32" t="n">
        <v>1977</v>
      </c>
      <c r="F336" s="34" t="n">
        <f aca="false">6366.8*1.2</f>
        <v>7640.16</v>
      </c>
      <c r="G336" s="35" t="n">
        <v>1</v>
      </c>
      <c r="H336" s="36" t="n">
        <v>300</v>
      </c>
    </row>
    <row r="337" s="37" customFormat="true" ht="13.8" hidden="false" customHeight="false" outlineLevel="0" collapsed="false">
      <c r="A337" s="31" t="n">
        <v>380</v>
      </c>
      <c r="B337" s="32" t="s">
        <v>206</v>
      </c>
      <c r="C337" s="32" t="str">
        <f aca="false">"0860808"</f>
        <v>0860808</v>
      </c>
      <c r="D337" s="33" t="s">
        <v>258</v>
      </c>
      <c r="E337" s="32" t="n">
        <v>1977</v>
      </c>
      <c r="F337" s="34" t="n">
        <f aca="false">13028.52*1.2</f>
        <v>15634.224</v>
      </c>
      <c r="G337" s="35" t="n">
        <v>6</v>
      </c>
      <c r="H337" s="36" t="n">
        <v>3750</v>
      </c>
    </row>
    <row r="338" s="37" customFormat="true" ht="13.8" hidden="false" customHeight="false" outlineLevel="0" collapsed="false">
      <c r="A338" s="25" t="n">
        <v>381</v>
      </c>
      <c r="B338" s="32" t="s">
        <v>206</v>
      </c>
      <c r="C338" s="32" t="str">
        <f aca="false">"0861065"</f>
        <v>0861065</v>
      </c>
      <c r="D338" s="33" t="s">
        <v>259</v>
      </c>
      <c r="E338" s="32" t="n">
        <v>1986</v>
      </c>
      <c r="F338" s="34" t="n">
        <f aca="false">1544.68*1.2</f>
        <v>1853.616</v>
      </c>
      <c r="G338" s="35" t="n">
        <v>1</v>
      </c>
      <c r="H338" s="36" t="n">
        <v>90</v>
      </c>
    </row>
    <row r="339" s="37" customFormat="true" ht="13.8" hidden="false" customHeight="false" outlineLevel="0" collapsed="false">
      <c r="A339" s="31" t="n">
        <v>382</v>
      </c>
      <c r="B339" s="32" t="s">
        <v>206</v>
      </c>
      <c r="C339" s="32" t="str">
        <f aca="false">"0861073"</f>
        <v>0861073</v>
      </c>
      <c r="D339" s="33" t="s">
        <v>260</v>
      </c>
      <c r="E339" s="32" t="n">
        <v>1986</v>
      </c>
      <c r="F339" s="34" t="n">
        <f aca="false">1599.6*1.2</f>
        <v>1919.52</v>
      </c>
      <c r="G339" s="35" t="n">
        <v>1</v>
      </c>
      <c r="H339" s="36" t="n">
        <v>100</v>
      </c>
    </row>
    <row r="340" s="37" customFormat="true" ht="13.8" hidden="false" customHeight="false" outlineLevel="0" collapsed="false">
      <c r="A340" s="25" t="n">
        <v>385</v>
      </c>
      <c r="B340" s="32" t="s">
        <v>206</v>
      </c>
      <c r="C340" s="32" t="str">
        <f aca="false">"0861332"</f>
        <v>0861332</v>
      </c>
      <c r="D340" s="33" t="s">
        <v>261</v>
      </c>
      <c r="E340" s="32" t="n">
        <v>1947</v>
      </c>
      <c r="F340" s="34" t="n">
        <f aca="false">5410.98*1.4</f>
        <v>7575.372</v>
      </c>
      <c r="G340" s="35" t="n">
        <v>1</v>
      </c>
      <c r="H340" s="36" t="n">
        <v>85</v>
      </c>
    </row>
    <row r="341" s="37" customFormat="true" ht="13.8" hidden="false" customHeight="false" outlineLevel="0" collapsed="false">
      <c r="A341" s="31" t="n">
        <v>386</v>
      </c>
      <c r="B341" s="32" t="s">
        <v>206</v>
      </c>
      <c r="C341" s="32" t="str">
        <f aca="false">"0876623"</f>
        <v>0876623</v>
      </c>
      <c r="D341" s="33" t="s">
        <v>94</v>
      </c>
      <c r="E341" s="32" t="n">
        <v>1964</v>
      </c>
      <c r="F341" s="34" t="n">
        <v>824.44</v>
      </c>
      <c r="G341" s="35" t="n">
        <v>1</v>
      </c>
      <c r="H341" s="36" t="n">
        <v>20</v>
      </c>
    </row>
    <row r="342" s="37" customFormat="true" ht="13.8" hidden="false" customHeight="false" outlineLevel="0" collapsed="false">
      <c r="A342" s="25" t="n">
        <v>387</v>
      </c>
      <c r="B342" s="32" t="s">
        <v>206</v>
      </c>
      <c r="C342" s="32" t="str">
        <f aca="false">"0876895"</f>
        <v>0876895</v>
      </c>
      <c r="D342" s="33" t="s">
        <v>262</v>
      </c>
      <c r="E342" s="32" t="n">
        <v>2007</v>
      </c>
      <c r="F342" s="34" t="n">
        <v>4329.08</v>
      </c>
      <c r="G342" s="35" t="n">
        <v>1</v>
      </c>
      <c r="H342" s="36" t="n">
        <v>320</v>
      </c>
    </row>
    <row r="343" s="37" customFormat="true" ht="13.8" hidden="false" customHeight="false" outlineLevel="0" collapsed="false">
      <c r="A343" s="31" t="n">
        <v>388</v>
      </c>
      <c r="B343" s="32" t="s">
        <v>206</v>
      </c>
      <c r="C343" s="32" t="str">
        <f aca="false">"0876925"</f>
        <v>0876925</v>
      </c>
      <c r="D343" s="33" t="s">
        <v>263</v>
      </c>
      <c r="E343" s="32" t="n">
        <v>2009</v>
      </c>
      <c r="F343" s="34" t="n">
        <v>3425</v>
      </c>
      <c r="G343" s="35" t="n">
        <v>1</v>
      </c>
      <c r="H343" s="36" t="n">
        <v>320</v>
      </c>
    </row>
    <row r="344" s="37" customFormat="true" ht="13.8" hidden="false" customHeight="false" outlineLevel="0" collapsed="false">
      <c r="A344" s="25" t="n">
        <v>389</v>
      </c>
      <c r="B344" s="32" t="s">
        <v>206</v>
      </c>
      <c r="C344" s="32" t="str">
        <f aca="false">"0876933"</f>
        <v>0876933</v>
      </c>
      <c r="D344" s="33" t="s">
        <v>264</v>
      </c>
      <c r="E344" s="32" t="n">
        <v>2012</v>
      </c>
      <c r="F344" s="34" t="n">
        <v>4100</v>
      </c>
      <c r="G344" s="35" t="n">
        <v>1</v>
      </c>
      <c r="H344" s="36" t="n">
        <v>620</v>
      </c>
    </row>
    <row r="345" s="37" customFormat="true" ht="13.8" hidden="false" customHeight="false" outlineLevel="0" collapsed="false">
      <c r="A345" s="31" t="n">
        <v>390</v>
      </c>
      <c r="B345" s="32" t="s">
        <v>206</v>
      </c>
      <c r="C345" s="32" t="str">
        <f aca="false">"0873381"</f>
        <v>0873381</v>
      </c>
      <c r="D345" s="33" t="s">
        <v>265</v>
      </c>
      <c r="E345" s="32" t="n">
        <v>1989</v>
      </c>
      <c r="F345" s="34" t="n">
        <v>300</v>
      </c>
      <c r="G345" s="35" t="n">
        <v>4</v>
      </c>
      <c r="H345" s="36" t="n">
        <v>60</v>
      </c>
    </row>
    <row r="346" s="37" customFormat="true" ht="13.8" hidden="false" customHeight="false" outlineLevel="0" collapsed="false">
      <c r="A346" s="25" t="n">
        <v>391</v>
      </c>
      <c r="B346" s="32" t="s">
        <v>206</v>
      </c>
      <c r="C346" s="32" t="str">
        <f aca="false">"0873489"</f>
        <v>0873489</v>
      </c>
      <c r="D346" s="33" t="s">
        <v>266</v>
      </c>
      <c r="E346" s="32" t="n">
        <v>1989</v>
      </c>
      <c r="F346" s="34" t="n">
        <v>1000</v>
      </c>
      <c r="G346" s="35" t="n">
        <v>7</v>
      </c>
      <c r="H346" s="36" t="n">
        <v>350</v>
      </c>
    </row>
    <row r="347" s="37" customFormat="true" ht="13.8" hidden="false" customHeight="false" outlineLevel="0" collapsed="false">
      <c r="A347" s="31" t="n">
        <v>392</v>
      </c>
      <c r="B347" s="32" t="s">
        <v>206</v>
      </c>
      <c r="C347" s="32" t="str">
        <f aca="false">"0875317"</f>
        <v>0875317</v>
      </c>
      <c r="D347" s="33" t="s">
        <v>267</v>
      </c>
      <c r="E347" s="32" t="n">
        <v>2007</v>
      </c>
      <c r="F347" s="34" t="n">
        <v>4780</v>
      </c>
      <c r="G347" s="35" t="n">
        <v>1</v>
      </c>
      <c r="H347" s="36" t="n">
        <v>350</v>
      </c>
    </row>
    <row r="348" s="37" customFormat="true" ht="13.8" hidden="false" customHeight="false" outlineLevel="0" collapsed="false">
      <c r="A348" s="25" t="n">
        <v>393</v>
      </c>
      <c r="B348" s="32" t="s">
        <v>206</v>
      </c>
      <c r="C348" s="32" t="str">
        <f aca="false">"0921157"</f>
        <v>0921157</v>
      </c>
      <c r="D348" s="33" t="s">
        <v>268</v>
      </c>
      <c r="E348" s="32" t="n">
        <v>2017</v>
      </c>
      <c r="F348" s="34" t="n">
        <v>9863</v>
      </c>
      <c r="G348" s="35" t="n">
        <v>1</v>
      </c>
      <c r="H348" s="36" t="n">
        <v>5600</v>
      </c>
    </row>
    <row r="349" s="37" customFormat="true" ht="13.8" hidden="false" customHeight="false" outlineLevel="0" collapsed="false">
      <c r="A349" s="31" t="n">
        <v>394</v>
      </c>
      <c r="B349" s="32" t="s">
        <v>206</v>
      </c>
      <c r="C349" s="32" t="str">
        <f aca="false">"0921165"</f>
        <v>0921165</v>
      </c>
      <c r="D349" s="33" t="s">
        <v>268</v>
      </c>
      <c r="E349" s="32" t="n">
        <v>2017</v>
      </c>
      <c r="F349" s="34" t="n">
        <v>8991</v>
      </c>
      <c r="G349" s="35" t="n">
        <v>1</v>
      </c>
      <c r="H349" s="36" t="n">
        <v>5100</v>
      </c>
    </row>
    <row r="350" s="37" customFormat="true" ht="13.8" hidden="false" customHeight="false" outlineLevel="0" collapsed="false">
      <c r="A350" s="25" t="n">
        <v>395</v>
      </c>
      <c r="B350" s="32" t="s">
        <v>206</v>
      </c>
      <c r="C350" s="32" t="str">
        <f aca="false">"0921190"</f>
        <v>0921190</v>
      </c>
      <c r="D350" s="33" t="s">
        <v>269</v>
      </c>
      <c r="E350" s="32" t="n">
        <v>2017</v>
      </c>
      <c r="F350" s="34" t="n">
        <v>3753.6</v>
      </c>
      <c r="G350" s="35" t="n">
        <v>1</v>
      </c>
      <c r="H350" s="36" t="n">
        <v>2150</v>
      </c>
    </row>
    <row r="351" s="37" customFormat="true" ht="13.8" hidden="false" customHeight="false" outlineLevel="0" collapsed="false">
      <c r="A351" s="31" t="n">
        <v>396</v>
      </c>
      <c r="B351" s="32" t="s">
        <v>206</v>
      </c>
      <c r="C351" s="32" t="str">
        <f aca="false">"0922757"</f>
        <v>0922757</v>
      </c>
      <c r="D351" s="33" t="s">
        <v>270</v>
      </c>
      <c r="E351" s="32" t="n">
        <v>2017</v>
      </c>
      <c r="F351" s="34" t="n">
        <v>3549</v>
      </c>
      <c r="G351" s="35" t="n">
        <v>1</v>
      </c>
      <c r="H351" s="36" t="n">
        <v>2000</v>
      </c>
    </row>
    <row r="352" s="37" customFormat="true" ht="13.8" hidden="false" customHeight="false" outlineLevel="0" collapsed="false">
      <c r="A352" s="25" t="n">
        <v>397</v>
      </c>
      <c r="B352" s="32" t="s">
        <v>206</v>
      </c>
      <c r="C352" s="32" t="str">
        <f aca="false">"0922765"</f>
        <v>0922765</v>
      </c>
      <c r="D352" s="33" t="s">
        <v>271</v>
      </c>
      <c r="E352" s="32" t="n">
        <v>2017</v>
      </c>
      <c r="F352" s="34" t="n">
        <v>3639</v>
      </c>
      <c r="G352" s="35" t="n">
        <v>1</v>
      </c>
      <c r="H352" s="36" t="n">
        <v>2050</v>
      </c>
    </row>
    <row r="353" s="37" customFormat="true" ht="13.8" hidden="false" customHeight="false" outlineLevel="0" collapsed="false">
      <c r="A353" s="31" t="n">
        <v>398</v>
      </c>
      <c r="B353" s="32" t="s">
        <v>206</v>
      </c>
      <c r="C353" s="32" t="str">
        <f aca="false">"0925039"</f>
        <v>0925039</v>
      </c>
      <c r="D353" s="33" t="s">
        <v>272</v>
      </c>
      <c r="E353" s="32" t="n">
        <v>2018</v>
      </c>
      <c r="F353" s="34" t="n">
        <v>5945.7</v>
      </c>
      <c r="G353" s="35" t="n">
        <v>1</v>
      </c>
      <c r="H353" s="36" t="n">
        <v>3900</v>
      </c>
    </row>
    <row r="354" s="37" customFormat="true" ht="13.8" hidden="false" customHeight="false" outlineLevel="0" collapsed="false">
      <c r="A354" s="31" t="n">
        <v>400</v>
      </c>
      <c r="B354" s="32" t="s">
        <v>206</v>
      </c>
      <c r="C354" s="32" t="s">
        <v>25</v>
      </c>
      <c r="D354" s="33" t="s">
        <v>273</v>
      </c>
      <c r="E354" s="32" t="n">
        <v>1986</v>
      </c>
      <c r="F354" s="34" t="n">
        <v>25800</v>
      </c>
      <c r="G354" s="35" t="n">
        <v>1</v>
      </c>
      <c r="H354" s="36" t="n">
        <v>1300</v>
      </c>
    </row>
    <row r="355" s="37" customFormat="true" ht="13.8" hidden="false" customHeight="false" outlineLevel="0" collapsed="false">
      <c r="A355" s="25" t="n">
        <v>401</v>
      </c>
      <c r="B355" s="32" t="s">
        <v>206</v>
      </c>
      <c r="C355" s="32" t="s">
        <v>25</v>
      </c>
      <c r="D355" s="33" t="s">
        <v>274</v>
      </c>
      <c r="E355" s="32" t="n">
        <v>1986</v>
      </c>
      <c r="F355" s="34" t="n">
        <v>28000</v>
      </c>
      <c r="G355" s="35" t="n">
        <v>1</v>
      </c>
      <c r="H355" s="36" t="n">
        <v>1400</v>
      </c>
    </row>
    <row r="356" s="37" customFormat="true" ht="13.8" hidden="false" customHeight="false" outlineLevel="0" collapsed="false">
      <c r="A356" s="31" t="n">
        <v>402</v>
      </c>
      <c r="B356" s="32" t="s">
        <v>206</v>
      </c>
      <c r="C356" s="32" t="s">
        <v>25</v>
      </c>
      <c r="D356" s="33" t="s">
        <v>275</v>
      </c>
      <c r="E356" s="32" t="n">
        <v>1986</v>
      </c>
      <c r="F356" s="34" t="n">
        <v>1200</v>
      </c>
      <c r="G356" s="35" t="n">
        <f aca="false">1+1</f>
        <v>2</v>
      </c>
      <c r="H356" s="36" t="n">
        <v>140</v>
      </c>
    </row>
    <row r="357" s="37" customFormat="true" ht="13.8" hidden="false" customHeight="false" outlineLevel="0" collapsed="false">
      <c r="A357" s="25" t="n">
        <v>403</v>
      </c>
      <c r="B357" s="32" t="s">
        <v>206</v>
      </c>
      <c r="C357" s="32" t="s">
        <v>25</v>
      </c>
      <c r="D357" s="33" t="s">
        <v>276</v>
      </c>
      <c r="E357" s="32" t="n">
        <v>1986</v>
      </c>
      <c r="F357" s="34" t="n">
        <v>228000</v>
      </c>
      <c r="G357" s="35" t="n">
        <v>1</v>
      </c>
      <c r="H357" s="36" t="n">
        <v>11100</v>
      </c>
    </row>
    <row r="358" s="37" customFormat="true" ht="13.8" hidden="false" customHeight="false" outlineLevel="0" collapsed="false">
      <c r="A358" s="31" t="n">
        <v>404</v>
      </c>
      <c r="B358" s="32" t="s">
        <v>206</v>
      </c>
      <c r="C358" s="32" t="s">
        <v>25</v>
      </c>
      <c r="D358" s="33" t="s">
        <v>277</v>
      </c>
      <c r="E358" s="32" t="n">
        <v>2001</v>
      </c>
      <c r="F358" s="34" t="n">
        <v>2800</v>
      </c>
      <c r="G358" s="35" t="n">
        <v>1</v>
      </c>
      <c r="H358" s="36" t="n">
        <v>180</v>
      </c>
    </row>
    <row r="359" s="37" customFormat="true" ht="13.8" hidden="false" customHeight="false" outlineLevel="0" collapsed="false">
      <c r="A359" s="25" t="n">
        <v>405</v>
      </c>
      <c r="B359" s="32" t="s">
        <v>206</v>
      </c>
      <c r="C359" s="32" t="s">
        <v>25</v>
      </c>
      <c r="D359" s="33" t="s">
        <v>278</v>
      </c>
      <c r="E359" s="32" t="n">
        <v>2001</v>
      </c>
      <c r="F359" s="34" t="n">
        <v>700</v>
      </c>
      <c r="G359" s="35" t="n">
        <v>1</v>
      </c>
      <c r="H359" s="36" t="n">
        <v>50</v>
      </c>
    </row>
    <row r="360" s="37" customFormat="true" ht="13.8" hidden="false" customHeight="false" outlineLevel="0" collapsed="false">
      <c r="A360" s="31" t="n">
        <v>406</v>
      </c>
      <c r="B360" s="32" t="s">
        <v>206</v>
      </c>
      <c r="C360" s="32" t="s">
        <v>25</v>
      </c>
      <c r="D360" s="33" t="s">
        <v>279</v>
      </c>
      <c r="E360" s="32" t="n">
        <v>2001</v>
      </c>
      <c r="F360" s="34" t="n">
        <v>18900</v>
      </c>
      <c r="G360" s="35" t="n">
        <v>1</v>
      </c>
      <c r="H360" s="36" t="n">
        <v>1200</v>
      </c>
    </row>
    <row r="361" s="37" customFormat="true" ht="13.8" hidden="false" customHeight="false" outlineLevel="0" collapsed="false">
      <c r="A361" s="25" t="n">
        <v>411</v>
      </c>
      <c r="B361" s="32" t="s">
        <v>206</v>
      </c>
      <c r="C361" s="32" t="s">
        <v>25</v>
      </c>
      <c r="D361" s="33" t="s">
        <v>280</v>
      </c>
      <c r="E361" s="32" t="n">
        <v>2001</v>
      </c>
      <c r="F361" s="39" t="n">
        <v>7471.88</v>
      </c>
      <c r="G361" s="35" t="n">
        <v>2</v>
      </c>
      <c r="H361" s="36" t="n">
        <v>1000</v>
      </c>
    </row>
    <row r="362" s="37" customFormat="true" ht="13.8" hidden="false" customHeight="false" outlineLevel="0" collapsed="false">
      <c r="A362" s="31" t="n">
        <v>412</v>
      </c>
      <c r="B362" s="32" t="s">
        <v>206</v>
      </c>
      <c r="C362" s="32" t="s">
        <v>25</v>
      </c>
      <c r="D362" s="33" t="s">
        <v>281</v>
      </c>
      <c r="E362" s="32" t="n">
        <v>2001</v>
      </c>
      <c r="F362" s="34" t="n">
        <f aca="false">470*7.5</f>
        <v>3525</v>
      </c>
      <c r="G362" s="35" t="n">
        <v>4</v>
      </c>
      <c r="H362" s="36" t="n">
        <v>1200</v>
      </c>
    </row>
    <row r="363" s="37" customFormat="true" ht="13.8" hidden="false" customHeight="false" outlineLevel="0" collapsed="false">
      <c r="A363" s="25" t="n">
        <v>413</v>
      </c>
      <c r="B363" s="32" t="s">
        <v>206</v>
      </c>
      <c r="C363" s="32" t="s">
        <v>25</v>
      </c>
      <c r="D363" s="33" t="s">
        <v>282</v>
      </c>
      <c r="E363" s="32" t="n">
        <v>2001</v>
      </c>
      <c r="F363" s="34" t="n">
        <f aca="false">714*7.5</f>
        <v>5355</v>
      </c>
      <c r="G363" s="35" t="n">
        <v>5</v>
      </c>
      <c r="H363" s="36" t="n">
        <v>2250</v>
      </c>
    </row>
    <row r="364" s="37" customFormat="true" ht="13.8" hidden="false" customHeight="false" outlineLevel="0" collapsed="false">
      <c r="A364" s="31" t="n">
        <v>414</v>
      </c>
      <c r="B364" s="32" t="s">
        <v>206</v>
      </c>
      <c r="C364" s="32" t="s">
        <v>25</v>
      </c>
      <c r="D364" s="33" t="s">
        <v>283</v>
      </c>
      <c r="E364" s="32" t="n">
        <v>2001</v>
      </c>
      <c r="F364" s="34" t="n">
        <f aca="false">885*7.5</f>
        <v>6637.5</v>
      </c>
      <c r="G364" s="35" t="n">
        <v>2</v>
      </c>
      <c r="H364" s="36" t="n">
        <v>1100</v>
      </c>
    </row>
    <row r="365" s="37" customFormat="true" ht="13.8" hidden="false" customHeight="false" outlineLevel="0" collapsed="false">
      <c r="A365" s="25" t="n">
        <v>415</v>
      </c>
      <c r="B365" s="32" t="s">
        <v>206</v>
      </c>
      <c r="C365" s="32" t="s">
        <v>25</v>
      </c>
      <c r="D365" s="33" t="s">
        <v>284</v>
      </c>
      <c r="E365" s="32" t="n">
        <v>2001</v>
      </c>
      <c r="F365" s="34" t="n">
        <f aca="false">17720</f>
        <v>17720</v>
      </c>
      <c r="G365" s="35" t="n">
        <v>2</v>
      </c>
      <c r="H365" s="36" t="n">
        <v>3000</v>
      </c>
    </row>
    <row r="366" s="37" customFormat="true" ht="13.8" hidden="false" customHeight="false" outlineLevel="0" collapsed="false">
      <c r="A366" s="31" t="n">
        <v>416</v>
      </c>
      <c r="B366" s="32" t="s">
        <v>206</v>
      </c>
      <c r="C366" s="32" t="s">
        <v>25</v>
      </c>
      <c r="D366" s="33" t="s">
        <v>285</v>
      </c>
      <c r="E366" s="32" t="n">
        <v>2001</v>
      </c>
      <c r="F366" s="34" t="n">
        <f aca="false">20400</f>
        <v>20400</v>
      </c>
      <c r="G366" s="35" t="n">
        <v>2</v>
      </c>
      <c r="H366" s="36" t="n">
        <v>3400</v>
      </c>
    </row>
    <row r="367" s="37" customFormat="true" ht="13.8" hidden="false" customHeight="false" outlineLevel="0" collapsed="false">
      <c r="A367" s="25" t="n">
        <v>417</v>
      </c>
      <c r="B367" s="32" t="s">
        <v>206</v>
      </c>
      <c r="C367" s="32" t="s">
        <v>25</v>
      </c>
      <c r="D367" s="33" t="s">
        <v>286</v>
      </c>
      <c r="E367" s="32" t="n">
        <v>2001</v>
      </c>
      <c r="F367" s="34" t="n">
        <v>500</v>
      </c>
      <c r="G367" s="35" t="n">
        <v>2</v>
      </c>
      <c r="H367" s="36" t="n">
        <v>60</v>
      </c>
    </row>
    <row r="368" s="37" customFormat="true" ht="13.8" hidden="false" customHeight="false" outlineLevel="0" collapsed="false">
      <c r="A368" s="31" t="n">
        <v>418</v>
      </c>
      <c r="B368" s="32" t="s">
        <v>206</v>
      </c>
      <c r="C368" s="32" t="s">
        <v>25</v>
      </c>
      <c r="D368" s="33" t="s">
        <v>287</v>
      </c>
      <c r="E368" s="32" t="n">
        <v>2001</v>
      </c>
      <c r="F368" s="34" t="n">
        <v>200</v>
      </c>
      <c r="G368" s="35" t="n">
        <v>2</v>
      </c>
      <c r="H368" s="36" t="n">
        <v>30</v>
      </c>
    </row>
    <row r="369" s="37" customFormat="true" ht="13.8" hidden="false" customHeight="false" outlineLevel="0" collapsed="false">
      <c r="A369" s="31" t="n">
        <v>420</v>
      </c>
      <c r="B369" s="32" t="s">
        <v>288</v>
      </c>
      <c r="C369" s="32" t="str">
        <f aca="false">"0865753"</f>
        <v>0865753</v>
      </c>
      <c r="D369" s="33" t="s">
        <v>119</v>
      </c>
      <c r="E369" s="32" t="n">
        <v>1975</v>
      </c>
      <c r="F369" s="34" t="n">
        <v>1024.82</v>
      </c>
      <c r="G369" s="35" t="n">
        <v>4</v>
      </c>
      <c r="H369" s="36" t="n">
        <v>120</v>
      </c>
    </row>
    <row r="370" s="37" customFormat="true" ht="13.8" hidden="false" customHeight="false" outlineLevel="0" collapsed="false">
      <c r="A370" s="25" t="n">
        <v>421</v>
      </c>
      <c r="B370" s="32" t="s">
        <v>288</v>
      </c>
      <c r="C370" s="32" t="str">
        <f aca="false">"0865796"</f>
        <v>0865796</v>
      </c>
      <c r="D370" s="33" t="s">
        <v>289</v>
      </c>
      <c r="E370" s="32" t="n">
        <v>1975</v>
      </c>
      <c r="F370" s="34" t="n">
        <v>838.1</v>
      </c>
      <c r="G370" s="35" t="n">
        <v>9</v>
      </c>
      <c r="H370" s="36" t="n">
        <v>270</v>
      </c>
    </row>
    <row r="371" s="37" customFormat="true" ht="13.8" hidden="false" customHeight="false" outlineLevel="0" collapsed="false">
      <c r="A371" s="31" t="n">
        <v>422</v>
      </c>
      <c r="B371" s="32" t="s">
        <v>288</v>
      </c>
      <c r="C371" s="32" t="str">
        <f aca="false">"0865834"</f>
        <v>0865834</v>
      </c>
      <c r="D371" s="33" t="s">
        <v>289</v>
      </c>
      <c r="E371" s="32" t="n">
        <v>1975</v>
      </c>
      <c r="F371" s="34" t="n">
        <v>419.05</v>
      </c>
      <c r="G371" s="35" t="n">
        <v>1</v>
      </c>
      <c r="H371" s="36" t="n">
        <v>15</v>
      </c>
    </row>
    <row r="372" s="37" customFormat="true" ht="13.8" hidden="false" customHeight="false" outlineLevel="0" collapsed="false">
      <c r="A372" s="25" t="n">
        <v>423</v>
      </c>
      <c r="B372" s="32" t="s">
        <v>288</v>
      </c>
      <c r="C372" s="32" t="str">
        <f aca="false">"0855332"</f>
        <v>0855332</v>
      </c>
      <c r="D372" s="33" t="s">
        <v>290</v>
      </c>
      <c r="E372" s="32" t="n">
        <v>1999</v>
      </c>
      <c r="F372" s="34" t="n">
        <v>9500</v>
      </c>
      <c r="G372" s="35" t="n">
        <v>1</v>
      </c>
      <c r="H372" s="36" t="n">
        <v>600</v>
      </c>
    </row>
    <row r="373" s="37" customFormat="true" ht="13.8" hidden="false" customHeight="false" outlineLevel="0" collapsed="false">
      <c r="A373" s="31" t="n">
        <v>426</v>
      </c>
      <c r="B373" s="32" t="s">
        <v>288</v>
      </c>
      <c r="C373" s="32" t="str">
        <f aca="false">"0866083"</f>
        <v>0866083</v>
      </c>
      <c r="D373" s="33" t="s">
        <v>57</v>
      </c>
      <c r="E373" s="32" t="n">
        <v>1976</v>
      </c>
      <c r="F373" s="34" t="n">
        <v>1181.31</v>
      </c>
      <c r="G373" s="35" t="n">
        <v>2</v>
      </c>
      <c r="H373" s="36" t="n">
        <v>80</v>
      </c>
    </row>
    <row r="374" s="37" customFormat="true" ht="13.8" hidden="false" customHeight="false" outlineLevel="0" collapsed="false">
      <c r="A374" s="25" t="n">
        <v>427</v>
      </c>
      <c r="B374" s="32" t="s">
        <v>288</v>
      </c>
      <c r="C374" s="32" t="str">
        <f aca="false">"0866105"</f>
        <v>0866105</v>
      </c>
      <c r="D374" s="33" t="s">
        <v>42</v>
      </c>
      <c r="E374" s="32" t="n">
        <v>1976</v>
      </c>
      <c r="F374" s="34" t="n">
        <v>824.71</v>
      </c>
      <c r="G374" s="35" t="n">
        <v>1</v>
      </c>
      <c r="H374" s="36" t="n">
        <v>30</v>
      </c>
    </row>
    <row r="375" s="37" customFormat="true" ht="13.8" hidden="false" customHeight="false" outlineLevel="0" collapsed="false">
      <c r="A375" s="31" t="n">
        <v>428</v>
      </c>
      <c r="B375" s="32" t="s">
        <v>288</v>
      </c>
      <c r="C375" s="32" t="str">
        <f aca="false">"0866121"</f>
        <v>0866121</v>
      </c>
      <c r="D375" s="33" t="s">
        <v>87</v>
      </c>
      <c r="E375" s="32" t="n">
        <v>1976</v>
      </c>
      <c r="F375" s="34" t="n">
        <v>615.22</v>
      </c>
      <c r="G375" s="35" t="n">
        <v>1</v>
      </c>
      <c r="H375" s="36" t="n">
        <v>20</v>
      </c>
    </row>
    <row r="376" s="37" customFormat="true" ht="13.8" hidden="false" customHeight="false" outlineLevel="0" collapsed="false">
      <c r="A376" s="25" t="n">
        <v>429</v>
      </c>
      <c r="B376" s="32" t="s">
        <v>288</v>
      </c>
      <c r="C376" s="32" t="str">
        <f aca="false">"0855650"</f>
        <v>0855650</v>
      </c>
      <c r="D376" s="33" t="s">
        <v>291</v>
      </c>
      <c r="E376" s="32" t="n">
        <v>2008</v>
      </c>
      <c r="F376" s="34" t="n">
        <v>4814.26</v>
      </c>
      <c r="G376" s="35" t="n">
        <v>1</v>
      </c>
      <c r="H376" s="36" t="n">
        <v>600</v>
      </c>
    </row>
    <row r="377" s="37" customFormat="true" ht="13.8" hidden="false" customHeight="false" outlineLevel="0" collapsed="false">
      <c r="A377" s="31" t="n">
        <v>430</v>
      </c>
      <c r="B377" s="32" t="s">
        <v>288</v>
      </c>
      <c r="C377" s="32" t="str">
        <f aca="false">"0855707"</f>
        <v>0855707</v>
      </c>
      <c r="D377" s="33" t="s">
        <v>292</v>
      </c>
      <c r="E377" s="32" t="n">
        <v>1962</v>
      </c>
      <c r="F377" s="34" t="n">
        <v>762.19</v>
      </c>
      <c r="G377" s="35" t="n">
        <v>1</v>
      </c>
      <c r="H377" s="36" t="n">
        <v>15</v>
      </c>
    </row>
    <row r="378" s="37" customFormat="true" ht="13.8" hidden="false" customHeight="false" outlineLevel="0" collapsed="false">
      <c r="A378" s="25" t="n">
        <v>431</v>
      </c>
      <c r="B378" s="32" t="s">
        <v>288</v>
      </c>
      <c r="C378" s="32" t="str">
        <f aca="false">"0866520"</f>
        <v>0866520</v>
      </c>
      <c r="D378" s="33" t="s">
        <v>293</v>
      </c>
      <c r="E378" s="32" t="n">
        <v>1977</v>
      </c>
      <c r="F378" s="34" t="n">
        <v>7865.8</v>
      </c>
      <c r="G378" s="35" t="n">
        <v>1</v>
      </c>
      <c r="H378" s="36" t="n">
        <v>300</v>
      </c>
    </row>
    <row r="379" s="37" customFormat="true" ht="13.8" hidden="false" customHeight="false" outlineLevel="0" collapsed="false">
      <c r="A379" s="31" t="n">
        <v>432</v>
      </c>
      <c r="B379" s="32" t="s">
        <v>288</v>
      </c>
      <c r="C379" s="32" t="str">
        <f aca="false">"0856037"</f>
        <v>0856037</v>
      </c>
      <c r="D379" s="33" t="s">
        <v>294</v>
      </c>
      <c r="E379" s="32" t="n">
        <v>1969</v>
      </c>
      <c r="F379" s="34" t="n">
        <v>17623.07</v>
      </c>
      <c r="G379" s="35" t="n">
        <v>4</v>
      </c>
      <c r="H379" s="36" t="n">
        <v>2200</v>
      </c>
    </row>
    <row r="380" s="37" customFormat="true" ht="13.8" hidden="false" customHeight="false" outlineLevel="0" collapsed="false">
      <c r="A380" s="25" t="n">
        <v>433</v>
      </c>
      <c r="B380" s="32" t="s">
        <v>288</v>
      </c>
      <c r="C380" s="32" t="str">
        <f aca="false">"0856142"</f>
        <v>0856142</v>
      </c>
      <c r="D380" s="33" t="s">
        <v>295</v>
      </c>
      <c r="E380" s="32" t="n">
        <v>1971</v>
      </c>
      <c r="F380" s="34" t="n">
        <f aca="false">670499.49*1.4</f>
        <v>938699.286</v>
      </c>
      <c r="G380" s="35" t="n">
        <v>1</v>
      </c>
      <c r="H380" s="36" t="n">
        <v>30340</v>
      </c>
    </row>
    <row r="381" s="37" customFormat="true" ht="13.8" hidden="false" customHeight="false" outlineLevel="0" collapsed="false">
      <c r="A381" s="31" t="n">
        <v>434</v>
      </c>
      <c r="B381" s="32" t="s">
        <v>288</v>
      </c>
      <c r="C381" s="32" t="str">
        <f aca="false">"0867144"</f>
        <v>0867144</v>
      </c>
      <c r="D381" s="33" t="s">
        <v>29</v>
      </c>
      <c r="E381" s="32" t="n">
        <v>1980</v>
      </c>
      <c r="F381" s="34" t="n">
        <v>449.48</v>
      </c>
      <c r="G381" s="35" t="n">
        <v>1</v>
      </c>
      <c r="H381" s="36" t="n">
        <v>20</v>
      </c>
    </row>
    <row r="382" s="37" customFormat="true" ht="13.8" hidden="false" customHeight="false" outlineLevel="0" collapsed="false">
      <c r="A382" s="25" t="n">
        <v>435</v>
      </c>
      <c r="B382" s="32" t="s">
        <v>288</v>
      </c>
      <c r="C382" s="32" t="str">
        <f aca="false">"0867217"</f>
        <v>0867217</v>
      </c>
      <c r="D382" s="33" t="s">
        <v>296</v>
      </c>
      <c r="E382" s="32" t="n">
        <v>1983</v>
      </c>
      <c r="F382" s="34" t="n">
        <v>646.83</v>
      </c>
      <c r="G382" s="35" t="n">
        <v>5</v>
      </c>
      <c r="H382" s="36" t="n">
        <v>150</v>
      </c>
    </row>
    <row r="383" s="37" customFormat="true" ht="13.8" hidden="false" customHeight="false" outlineLevel="0" collapsed="false">
      <c r="A383" s="31" t="n">
        <v>436</v>
      </c>
      <c r="B383" s="32" t="s">
        <v>288</v>
      </c>
      <c r="C383" s="32" t="str">
        <f aca="false">"0867225"</f>
        <v>0867225</v>
      </c>
      <c r="D383" s="33" t="s">
        <v>297</v>
      </c>
      <c r="E383" s="32" t="n">
        <v>1983</v>
      </c>
      <c r="F383" s="34" t="n">
        <v>957.61</v>
      </c>
      <c r="G383" s="35" t="n">
        <v>14</v>
      </c>
      <c r="H383" s="36" t="n">
        <v>560</v>
      </c>
    </row>
    <row r="384" s="37" customFormat="true" ht="13.8" hidden="false" customHeight="false" outlineLevel="0" collapsed="false">
      <c r="A384" s="25" t="n">
        <v>437</v>
      </c>
      <c r="B384" s="32" t="s">
        <v>288</v>
      </c>
      <c r="C384" s="32" t="str">
        <f aca="false">"0856517"</f>
        <v>0856517</v>
      </c>
      <c r="D384" s="33" t="s">
        <v>292</v>
      </c>
      <c r="E384" s="32" t="n">
        <v>1973</v>
      </c>
      <c r="F384" s="34" t="n">
        <v>17478.16</v>
      </c>
      <c r="G384" s="35" t="n">
        <v>9</v>
      </c>
      <c r="H384" s="36" t="n">
        <v>5400</v>
      </c>
    </row>
    <row r="385" s="37" customFormat="true" ht="13.8" hidden="false" customHeight="false" outlineLevel="0" collapsed="false">
      <c r="A385" s="31" t="n">
        <v>438</v>
      </c>
      <c r="B385" s="32" t="s">
        <v>288</v>
      </c>
      <c r="C385" s="32" t="str">
        <f aca="false">"0856657"</f>
        <v>0856657</v>
      </c>
      <c r="D385" s="33" t="s">
        <v>298</v>
      </c>
      <c r="E385" s="32" t="n">
        <v>1977</v>
      </c>
      <c r="F385" s="34" t="n">
        <f aca="false">17564.42*1.25</f>
        <v>21955.525</v>
      </c>
      <c r="G385" s="35" t="n">
        <v>1</v>
      </c>
      <c r="H385" s="36" t="n">
        <v>880</v>
      </c>
    </row>
    <row r="386" s="37" customFormat="true" ht="13.8" hidden="false" customHeight="false" outlineLevel="0" collapsed="false">
      <c r="A386" s="25" t="n">
        <v>439</v>
      </c>
      <c r="B386" s="32" t="s">
        <v>288</v>
      </c>
      <c r="C386" s="32" t="str">
        <f aca="false">"0856851"</f>
        <v>0856851</v>
      </c>
      <c r="D386" s="33" t="s">
        <v>299</v>
      </c>
      <c r="E386" s="32" t="n">
        <v>1979</v>
      </c>
      <c r="F386" s="34" t="n">
        <f aca="false">127682.97*1.2</f>
        <v>153219.564</v>
      </c>
      <c r="G386" s="35" t="n">
        <v>1</v>
      </c>
      <c r="H386" s="36" t="n">
        <v>6500</v>
      </c>
    </row>
    <row r="387" s="37" customFormat="true" ht="13.8" hidden="false" customHeight="false" outlineLevel="0" collapsed="false">
      <c r="A387" s="31" t="n">
        <v>440</v>
      </c>
      <c r="B387" s="32" t="s">
        <v>288</v>
      </c>
      <c r="C387" s="32" t="str">
        <f aca="false">"0856860"</f>
        <v>0856860</v>
      </c>
      <c r="D387" s="33" t="s">
        <v>300</v>
      </c>
      <c r="E387" s="32" t="n">
        <v>1979</v>
      </c>
      <c r="F387" s="34" t="n">
        <f aca="false">216442.4*1.2</f>
        <v>259730.88</v>
      </c>
      <c r="G387" s="35" t="n">
        <v>1</v>
      </c>
      <c r="H387" s="36" t="n">
        <v>10880</v>
      </c>
    </row>
    <row r="388" s="37" customFormat="true" ht="13.8" hidden="false" customHeight="false" outlineLevel="0" collapsed="false">
      <c r="A388" s="25" t="n">
        <v>441</v>
      </c>
      <c r="B388" s="32" t="s">
        <v>288</v>
      </c>
      <c r="C388" s="32" t="str">
        <f aca="false">"0867403"</f>
        <v>0867403</v>
      </c>
      <c r="D388" s="33" t="s">
        <v>297</v>
      </c>
      <c r="E388" s="32" t="n">
        <v>1983</v>
      </c>
      <c r="F388" s="34" t="n">
        <v>957.61</v>
      </c>
      <c r="G388" s="35" t="n">
        <v>15</v>
      </c>
      <c r="H388" s="36" t="n">
        <v>600</v>
      </c>
    </row>
    <row r="389" s="37" customFormat="true" ht="13.8" hidden="false" customHeight="false" outlineLevel="0" collapsed="false">
      <c r="A389" s="31" t="n">
        <v>442</v>
      </c>
      <c r="B389" s="32" t="s">
        <v>288</v>
      </c>
      <c r="C389" s="32" t="str">
        <f aca="false">"0867578"</f>
        <v>0867578</v>
      </c>
      <c r="D389" s="33" t="s">
        <v>119</v>
      </c>
      <c r="E389" s="32" t="n">
        <v>1983</v>
      </c>
      <c r="F389" s="34" t="n">
        <v>1732.08</v>
      </c>
      <c r="G389" s="35" t="n">
        <v>1</v>
      </c>
      <c r="H389" s="36" t="n">
        <v>60</v>
      </c>
    </row>
    <row r="390" s="37" customFormat="true" ht="13.8" hidden="false" customHeight="false" outlineLevel="0" collapsed="false">
      <c r="A390" s="25" t="n">
        <v>443</v>
      </c>
      <c r="B390" s="32" t="s">
        <v>288</v>
      </c>
      <c r="C390" s="32" t="str">
        <f aca="false">"0867586"</f>
        <v>0867586</v>
      </c>
      <c r="D390" s="33" t="s">
        <v>301</v>
      </c>
      <c r="E390" s="32" t="n">
        <v>1983</v>
      </c>
      <c r="F390" s="34" t="n">
        <v>923.8</v>
      </c>
      <c r="G390" s="35" t="n">
        <v>1</v>
      </c>
      <c r="H390" s="36" t="n">
        <v>40</v>
      </c>
    </row>
    <row r="391" s="37" customFormat="true" ht="13.8" hidden="false" customHeight="false" outlineLevel="0" collapsed="false">
      <c r="A391" s="31" t="n">
        <v>444</v>
      </c>
      <c r="B391" s="32" t="s">
        <v>288</v>
      </c>
      <c r="C391" s="32" t="str">
        <f aca="false">"0867594"</f>
        <v>0867594</v>
      </c>
      <c r="D391" s="33" t="s">
        <v>119</v>
      </c>
      <c r="E391" s="32" t="n">
        <v>1983</v>
      </c>
      <c r="F391" s="34" t="n">
        <v>1732.08</v>
      </c>
      <c r="G391" s="35" t="n">
        <v>1</v>
      </c>
      <c r="H391" s="36" t="n">
        <v>60</v>
      </c>
    </row>
    <row r="392" s="37" customFormat="true" ht="13.8" hidden="false" customHeight="false" outlineLevel="0" collapsed="false">
      <c r="A392" s="25" t="n">
        <v>445</v>
      </c>
      <c r="B392" s="32" t="s">
        <v>288</v>
      </c>
      <c r="C392" s="32" t="str">
        <f aca="false">"0867608"</f>
        <v>0867608</v>
      </c>
      <c r="D392" s="33" t="s">
        <v>302</v>
      </c>
      <c r="E392" s="32" t="n">
        <v>1983</v>
      </c>
      <c r="F392" s="34" t="n">
        <v>634.95</v>
      </c>
      <c r="G392" s="35" t="n">
        <v>1</v>
      </c>
      <c r="H392" s="36" t="n">
        <v>25</v>
      </c>
    </row>
    <row r="393" s="37" customFormat="true" ht="13.8" hidden="false" customHeight="false" outlineLevel="0" collapsed="false">
      <c r="A393" s="31" t="n">
        <v>446</v>
      </c>
      <c r="B393" s="32" t="s">
        <v>288</v>
      </c>
      <c r="C393" s="32" t="str">
        <f aca="false">"0867659"</f>
        <v>0867659</v>
      </c>
      <c r="D393" s="33" t="s">
        <v>119</v>
      </c>
      <c r="E393" s="32" t="n">
        <v>1983</v>
      </c>
      <c r="F393" s="34" t="n">
        <v>1154.67</v>
      </c>
      <c r="G393" s="35" t="n">
        <v>1</v>
      </c>
      <c r="H393" s="36" t="n">
        <v>50</v>
      </c>
    </row>
    <row r="394" s="37" customFormat="true" ht="13.8" hidden="false" customHeight="false" outlineLevel="0" collapsed="false">
      <c r="A394" s="25" t="n">
        <v>447</v>
      </c>
      <c r="B394" s="32" t="s">
        <v>288</v>
      </c>
      <c r="C394" s="32" t="str">
        <f aca="false">"0867667"</f>
        <v>0867667</v>
      </c>
      <c r="D394" s="33" t="s">
        <v>303</v>
      </c>
      <c r="E394" s="32" t="n">
        <v>1983</v>
      </c>
      <c r="F394" s="34" t="n">
        <v>519.58</v>
      </c>
      <c r="G394" s="35" t="n">
        <v>1</v>
      </c>
      <c r="H394" s="36" t="n">
        <v>20</v>
      </c>
    </row>
    <row r="395" s="37" customFormat="true" ht="13.8" hidden="false" customHeight="false" outlineLevel="0" collapsed="false">
      <c r="A395" s="31" t="n">
        <v>448</v>
      </c>
      <c r="B395" s="32" t="s">
        <v>288</v>
      </c>
      <c r="C395" s="32" t="str">
        <f aca="false">"0867675"</f>
        <v>0867675</v>
      </c>
      <c r="D395" s="33" t="s">
        <v>304</v>
      </c>
      <c r="E395" s="32" t="n">
        <v>1983</v>
      </c>
      <c r="F395" s="34" t="n">
        <v>461.89</v>
      </c>
      <c r="G395" s="35" t="n">
        <v>1</v>
      </c>
      <c r="H395" s="36" t="n">
        <v>15</v>
      </c>
    </row>
    <row r="396" s="37" customFormat="true" ht="13.8" hidden="false" customHeight="false" outlineLevel="0" collapsed="false">
      <c r="A396" s="25" t="n">
        <v>449</v>
      </c>
      <c r="B396" s="32" t="s">
        <v>288</v>
      </c>
      <c r="C396" s="32" t="str">
        <f aca="false">"0867713"</f>
        <v>0867713</v>
      </c>
      <c r="D396" s="33" t="s">
        <v>305</v>
      </c>
      <c r="E396" s="32" t="n">
        <v>1983</v>
      </c>
      <c r="F396" s="34" t="n">
        <v>3695.05</v>
      </c>
      <c r="G396" s="35" t="n">
        <v>1</v>
      </c>
      <c r="H396" s="36" t="n">
        <v>160</v>
      </c>
    </row>
    <row r="397" s="37" customFormat="true" ht="13.8" hidden="false" customHeight="false" outlineLevel="0" collapsed="false">
      <c r="A397" s="31" t="n">
        <v>450</v>
      </c>
      <c r="B397" s="32" t="s">
        <v>288</v>
      </c>
      <c r="C397" s="32" t="str">
        <f aca="false">"0856908"</f>
        <v>0856908</v>
      </c>
      <c r="D397" s="33" t="s">
        <v>306</v>
      </c>
      <c r="E397" s="32" t="n">
        <v>1983</v>
      </c>
      <c r="F397" s="34" t="n">
        <v>145811.24</v>
      </c>
      <c r="G397" s="35" t="n">
        <v>4</v>
      </c>
      <c r="H397" s="36" t="n">
        <v>26000</v>
      </c>
    </row>
    <row r="398" s="37" customFormat="true" ht="13.8" hidden="false" customHeight="false" outlineLevel="0" collapsed="false">
      <c r="A398" s="31" t="n">
        <v>452</v>
      </c>
      <c r="B398" s="32" t="s">
        <v>288</v>
      </c>
      <c r="C398" s="32" t="str">
        <f aca="false">"0856975"</f>
        <v>0856975</v>
      </c>
      <c r="D398" s="33" t="s">
        <v>307</v>
      </c>
      <c r="E398" s="32" t="n">
        <v>1984</v>
      </c>
      <c r="F398" s="34" t="n">
        <v>2344512.99</v>
      </c>
      <c r="G398" s="35" t="n">
        <v>1</v>
      </c>
      <c r="H398" s="36" t="n">
        <v>105500</v>
      </c>
    </row>
    <row r="399" s="37" customFormat="true" ht="13.8" hidden="false" customHeight="false" outlineLevel="0" collapsed="false">
      <c r="A399" s="25" t="n">
        <v>453</v>
      </c>
      <c r="B399" s="32" t="s">
        <v>288</v>
      </c>
      <c r="C399" s="32" t="str">
        <f aca="false">"0857165"</f>
        <v>0857165</v>
      </c>
      <c r="D399" s="33" t="s">
        <v>308</v>
      </c>
      <c r="E399" s="32" t="n">
        <v>1985</v>
      </c>
      <c r="F399" s="34" t="n">
        <v>1406.12</v>
      </c>
      <c r="G399" s="35" t="n">
        <v>2</v>
      </c>
      <c r="H399" s="36" t="n">
        <v>120</v>
      </c>
    </row>
    <row r="400" s="37" customFormat="true" ht="13.8" hidden="false" customHeight="false" outlineLevel="0" collapsed="false">
      <c r="A400" s="31" t="n">
        <v>454</v>
      </c>
      <c r="B400" s="32" t="s">
        <v>288</v>
      </c>
      <c r="C400" s="32" t="str">
        <f aca="false">"0857262"</f>
        <v>0857262</v>
      </c>
      <c r="D400" s="33" t="s">
        <v>309</v>
      </c>
      <c r="E400" s="32" t="n">
        <v>1985</v>
      </c>
      <c r="F400" s="34" t="n">
        <v>582.24</v>
      </c>
      <c r="G400" s="35" t="n">
        <v>1</v>
      </c>
      <c r="H400" s="36" t="n">
        <v>30</v>
      </c>
    </row>
    <row r="401" s="37" customFormat="true" ht="13.8" hidden="false" customHeight="false" outlineLevel="0" collapsed="false">
      <c r="A401" s="25" t="n">
        <v>455</v>
      </c>
      <c r="B401" s="32" t="s">
        <v>288</v>
      </c>
      <c r="C401" s="32" t="str">
        <f aca="false">"0857270"</f>
        <v>0857270</v>
      </c>
      <c r="D401" s="33" t="s">
        <v>310</v>
      </c>
      <c r="E401" s="32" t="n">
        <v>1985</v>
      </c>
      <c r="F401" s="34" t="n">
        <v>1490.58</v>
      </c>
      <c r="G401" s="35" t="n">
        <v>2</v>
      </c>
      <c r="H401" s="36" t="n">
        <v>140</v>
      </c>
    </row>
    <row r="402" s="37" customFormat="true" ht="13.8" hidden="false" customHeight="false" outlineLevel="0" collapsed="false">
      <c r="A402" s="31" t="n">
        <v>456</v>
      </c>
      <c r="B402" s="32" t="s">
        <v>288</v>
      </c>
      <c r="C402" s="32" t="str">
        <f aca="false">"0867810"</f>
        <v>0867810</v>
      </c>
      <c r="D402" s="33" t="s">
        <v>119</v>
      </c>
      <c r="E402" s="32" t="n">
        <v>1983</v>
      </c>
      <c r="F402" s="34" t="n">
        <v>1732.08</v>
      </c>
      <c r="G402" s="35" t="n">
        <v>3</v>
      </c>
      <c r="H402" s="36" t="n">
        <v>150</v>
      </c>
    </row>
    <row r="403" s="37" customFormat="true" ht="13.8" hidden="false" customHeight="false" outlineLevel="0" collapsed="false">
      <c r="A403" s="25" t="n">
        <v>457</v>
      </c>
      <c r="B403" s="32" t="s">
        <v>288</v>
      </c>
      <c r="C403" s="32" t="str">
        <f aca="false">"0867845"</f>
        <v>0867845</v>
      </c>
      <c r="D403" s="33" t="s">
        <v>311</v>
      </c>
      <c r="E403" s="32" t="n">
        <v>1983</v>
      </c>
      <c r="F403" s="34" t="n">
        <v>923.8</v>
      </c>
      <c r="G403" s="35" t="n">
        <v>1</v>
      </c>
      <c r="H403" s="36" t="n">
        <v>40</v>
      </c>
    </row>
    <row r="404" s="37" customFormat="true" ht="13.8" hidden="false" customHeight="false" outlineLevel="0" collapsed="false">
      <c r="A404" s="31" t="n">
        <v>458</v>
      </c>
      <c r="B404" s="32" t="s">
        <v>288</v>
      </c>
      <c r="C404" s="32" t="str">
        <f aca="false">"0867853"</f>
        <v>0867853</v>
      </c>
      <c r="D404" s="33" t="s">
        <v>312</v>
      </c>
      <c r="E404" s="32" t="n">
        <v>1983</v>
      </c>
      <c r="F404" s="34" t="n">
        <v>2886.76</v>
      </c>
      <c r="G404" s="35" t="n">
        <v>3</v>
      </c>
      <c r="H404" s="36" t="n">
        <v>360</v>
      </c>
    </row>
    <row r="405" s="37" customFormat="true" ht="13.8" hidden="false" customHeight="false" outlineLevel="0" collapsed="false">
      <c r="A405" s="25" t="n">
        <v>459</v>
      </c>
      <c r="B405" s="32" t="s">
        <v>288</v>
      </c>
      <c r="C405" s="32" t="str">
        <f aca="false">"0867861"</f>
        <v>0867861</v>
      </c>
      <c r="D405" s="33" t="s">
        <v>297</v>
      </c>
      <c r="E405" s="32" t="n">
        <v>1983</v>
      </c>
      <c r="F405" s="34" t="n">
        <v>957.61</v>
      </c>
      <c r="G405" s="35" t="n">
        <v>7</v>
      </c>
      <c r="H405" s="36" t="n">
        <v>280</v>
      </c>
    </row>
    <row r="406" s="37" customFormat="true" ht="13.8" hidden="false" customHeight="false" outlineLevel="0" collapsed="false">
      <c r="A406" s="31" t="n">
        <v>460</v>
      </c>
      <c r="B406" s="32" t="s">
        <v>288</v>
      </c>
      <c r="C406" s="32" t="str">
        <f aca="false">"0867934"</f>
        <v>0867934</v>
      </c>
      <c r="D406" s="33" t="s">
        <v>296</v>
      </c>
      <c r="E406" s="32" t="n">
        <v>1983</v>
      </c>
      <c r="F406" s="34" t="n">
        <v>180.64</v>
      </c>
      <c r="G406" s="35" t="n">
        <v>2</v>
      </c>
      <c r="H406" s="36" t="n">
        <v>20</v>
      </c>
    </row>
    <row r="407" s="37" customFormat="true" ht="13.8" hidden="false" customHeight="false" outlineLevel="0" collapsed="false">
      <c r="A407" s="25" t="n">
        <v>461</v>
      </c>
      <c r="B407" s="32" t="s">
        <v>288</v>
      </c>
      <c r="C407" s="32" t="str">
        <f aca="false">"0867977"</f>
        <v>0867977</v>
      </c>
      <c r="D407" s="33" t="s">
        <v>313</v>
      </c>
      <c r="E407" s="32" t="n">
        <v>1983</v>
      </c>
      <c r="F407" s="34" t="n">
        <v>519.58</v>
      </c>
      <c r="G407" s="35" t="n">
        <v>2</v>
      </c>
      <c r="H407" s="36" t="n">
        <v>40</v>
      </c>
    </row>
    <row r="408" s="37" customFormat="true" ht="13.8" hidden="false" customHeight="false" outlineLevel="0" collapsed="false">
      <c r="A408" s="31" t="n">
        <v>462</v>
      </c>
      <c r="B408" s="32" t="s">
        <v>288</v>
      </c>
      <c r="C408" s="32" t="str">
        <f aca="false">"0868019"</f>
        <v>0868019</v>
      </c>
      <c r="D408" s="33" t="s">
        <v>314</v>
      </c>
      <c r="E408" s="32" t="n">
        <v>1983</v>
      </c>
      <c r="F408" s="34" t="n">
        <v>346.39</v>
      </c>
      <c r="G408" s="35" t="n">
        <v>1</v>
      </c>
      <c r="H408" s="36" t="n">
        <v>15</v>
      </c>
    </row>
    <row r="409" s="37" customFormat="true" ht="13.8" hidden="false" customHeight="false" outlineLevel="0" collapsed="false">
      <c r="A409" s="25" t="n">
        <v>463</v>
      </c>
      <c r="B409" s="32" t="s">
        <v>288</v>
      </c>
      <c r="C409" s="32" t="str">
        <f aca="false">"0868027"</f>
        <v>0868027</v>
      </c>
      <c r="D409" s="33" t="s">
        <v>315</v>
      </c>
      <c r="E409" s="32" t="n">
        <v>1983</v>
      </c>
      <c r="F409" s="34" t="n">
        <v>1385.56</v>
      </c>
      <c r="G409" s="35" t="n">
        <v>1</v>
      </c>
      <c r="H409" s="36" t="n">
        <v>50</v>
      </c>
    </row>
    <row r="410" s="37" customFormat="true" ht="13.8" hidden="false" customHeight="false" outlineLevel="0" collapsed="false">
      <c r="A410" s="31" t="n">
        <v>464</v>
      </c>
      <c r="B410" s="32" t="s">
        <v>288</v>
      </c>
      <c r="C410" s="32" t="str">
        <f aca="false">"0868035"</f>
        <v>0868035</v>
      </c>
      <c r="D410" s="33" t="s">
        <v>316</v>
      </c>
      <c r="E410" s="32" t="n">
        <v>1983</v>
      </c>
      <c r="F410" s="34" t="n">
        <v>1847.46</v>
      </c>
      <c r="G410" s="35" t="n">
        <v>1</v>
      </c>
      <c r="H410" s="36" t="n">
        <v>70</v>
      </c>
    </row>
    <row r="411" s="37" customFormat="true" ht="13.8" hidden="false" customHeight="false" outlineLevel="0" collapsed="false">
      <c r="A411" s="25" t="n">
        <v>465</v>
      </c>
      <c r="B411" s="32" t="s">
        <v>288</v>
      </c>
      <c r="C411" s="32" t="str">
        <f aca="false">"0868043"</f>
        <v>0868043</v>
      </c>
      <c r="D411" s="33" t="s">
        <v>317</v>
      </c>
      <c r="E411" s="32" t="n">
        <v>1983</v>
      </c>
      <c r="F411" s="34" t="n">
        <v>3169.66</v>
      </c>
      <c r="G411" s="35" t="n">
        <v>1</v>
      </c>
      <c r="H411" s="36" t="n">
        <v>140</v>
      </c>
    </row>
    <row r="412" s="37" customFormat="true" ht="13.8" hidden="false" customHeight="false" outlineLevel="0" collapsed="false">
      <c r="A412" s="31" t="n">
        <v>466</v>
      </c>
      <c r="B412" s="32" t="s">
        <v>288</v>
      </c>
      <c r="C412" s="32" t="str">
        <f aca="false">"0868051"</f>
        <v>0868051</v>
      </c>
      <c r="D412" s="33" t="s">
        <v>119</v>
      </c>
      <c r="E412" s="32" t="n">
        <v>1983</v>
      </c>
      <c r="F412" s="34" t="n">
        <v>1732.08</v>
      </c>
      <c r="G412" s="35" t="n">
        <v>1</v>
      </c>
      <c r="H412" s="36" t="n">
        <v>60</v>
      </c>
    </row>
    <row r="413" s="37" customFormat="true" ht="13.8" hidden="false" customHeight="false" outlineLevel="0" collapsed="false">
      <c r="A413" s="25" t="n">
        <v>467</v>
      </c>
      <c r="B413" s="32" t="s">
        <v>288</v>
      </c>
      <c r="C413" s="32" t="str">
        <f aca="false">"0868060"</f>
        <v>0868060</v>
      </c>
      <c r="D413" s="33" t="s">
        <v>304</v>
      </c>
      <c r="E413" s="32" t="n">
        <v>1983</v>
      </c>
      <c r="F413" s="34" t="n">
        <v>461.89</v>
      </c>
      <c r="G413" s="35" t="n">
        <v>2</v>
      </c>
      <c r="H413" s="36" t="n">
        <v>40</v>
      </c>
    </row>
    <row r="414" s="37" customFormat="true" ht="13.8" hidden="false" customHeight="false" outlineLevel="0" collapsed="false">
      <c r="A414" s="31" t="n">
        <v>468</v>
      </c>
      <c r="B414" s="32" t="s">
        <v>288</v>
      </c>
      <c r="C414" s="32" t="str">
        <f aca="false">"0868086"</f>
        <v>0868086</v>
      </c>
      <c r="D414" s="33" t="s">
        <v>289</v>
      </c>
      <c r="E414" s="32" t="n">
        <v>1983</v>
      </c>
      <c r="F414" s="34" t="n">
        <v>2886.76</v>
      </c>
      <c r="G414" s="35" t="n">
        <v>1</v>
      </c>
      <c r="H414" s="36" t="n">
        <v>120</v>
      </c>
    </row>
    <row r="415" s="37" customFormat="true" ht="13.8" hidden="false" customHeight="false" outlineLevel="0" collapsed="false">
      <c r="A415" s="25" t="n">
        <v>469</v>
      </c>
      <c r="B415" s="32" t="s">
        <v>288</v>
      </c>
      <c r="C415" s="32" t="str">
        <f aca="false">"0868094"</f>
        <v>0868094</v>
      </c>
      <c r="D415" s="33" t="s">
        <v>318</v>
      </c>
      <c r="E415" s="32" t="n">
        <v>1983</v>
      </c>
      <c r="F415" s="34" t="n">
        <v>230.95</v>
      </c>
      <c r="G415" s="35" t="n">
        <v>1</v>
      </c>
      <c r="H415" s="36" t="n">
        <v>10</v>
      </c>
    </row>
    <row r="416" s="37" customFormat="true" ht="13.8" hidden="false" customHeight="false" outlineLevel="0" collapsed="false">
      <c r="A416" s="31" t="n">
        <v>470</v>
      </c>
      <c r="B416" s="32" t="s">
        <v>288</v>
      </c>
      <c r="C416" s="32" t="str">
        <f aca="false">"0868108"</f>
        <v>0868108</v>
      </c>
      <c r="D416" s="33" t="s">
        <v>318</v>
      </c>
      <c r="E416" s="32" t="n">
        <v>1983</v>
      </c>
      <c r="F416" s="34" t="n">
        <v>461.89</v>
      </c>
      <c r="G416" s="35" t="n">
        <v>1</v>
      </c>
      <c r="H416" s="36" t="n">
        <v>20</v>
      </c>
    </row>
    <row r="417" s="37" customFormat="true" ht="13.8" hidden="false" customHeight="false" outlineLevel="0" collapsed="false">
      <c r="A417" s="25" t="n">
        <v>471</v>
      </c>
      <c r="B417" s="32" t="s">
        <v>288</v>
      </c>
      <c r="C417" s="32" t="str">
        <f aca="false">"0868116"</f>
        <v>0868116</v>
      </c>
      <c r="D417" s="33" t="s">
        <v>319</v>
      </c>
      <c r="E417" s="32" t="n">
        <v>1983</v>
      </c>
      <c r="F417" s="34" t="n">
        <v>2309.35</v>
      </c>
      <c r="G417" s="35" t="n">
        <v>1</v>
      </c>
      <c r="H417" s="36" t="n">
        <v>100</v>
      </c>
    </row>
    <row r="418" s="37" customFormat="true" ht="13.8" hidden="false" customHeight="false" outlineLevel="0" collapsed="false">
      <c r="A418" s="31" t="n">
        <v>472</v>
      </c>
      <c r="B418" s="32" t="s">
        <v>288</v>
      </c>
      <c r="C418" s="32" t="str">
        <f aca="false">"0868167"</f>
        <v>0868167</v>
      </c>
      <c r="D418" s="33" t="s">
        <v>289</v>
      </c>
      <c r="E418" s="32" t="n">
        <v>1983</v>
      </c>
      <c r="F418" s="34" t="n">
        <v>2886.76</v>
      </c>
      <c r="G418" s="35" t="n">
        <v>2</v>
      </c>
      <c r="H418" s="36" t="n">
        <v>240</v>
      </c>
    </row>
    <row r="419" s="37" customFormat="true" ht="13.8" hidden="false" customHeight="false" outlineLevel="0" collapsed="false">
      <c r="A419" s="25" t="n">
        <v>473</v>
      </c>
      <c r="B419" s="32" t="s">
        <v>288</v>
      </c>
      <c r="C419" s="32" t="str">
        <f aca="false">"0857351"</f>
        <v>0857351</v>
      </c>
      <c r="D419" s="33" t="s">
        <v>320</v>
      </c>
      <c r="E419" s="32" t="n">
        <v>1986</v>
      </c>
      <c r="F419" s="34" t="n">
        <f aca="false">6500*7.5*1.25</f>
        <v>60937.5</v>
      </c>
      <c r="G419" s="35" t="n">
        <v>1</v>
      </c>
      <c r="H419" s="36" t="n">
        <v>3000</v>
      </c>
    </row>
    <row r="420" s="37" customFormat="true" ht="13.8" hidden="false" customHeight="false" outlineLevel="0" collapsed="false">
      <c r="A420" s="31" t="n">
        <v>474</v>
      </c>
      <c r="B420" s="32" t="s">
        <v>288</v>
      </c>
      <c r="C420" s="32" t="str">
        <f aca="false">"0857548"</f>
        <v>0857548</v>
      </c>
      <c r="D420" s="33" t="s">
        <v>321</v>
      </c>
      <c r="E420" s="32" t="n">
        <v>1987</v>
      </c>
      <c r="F420" s="34" t="n">
        <v>19500.05</v>
      </c>
      <c r="G420" s="35" t="n">
        <v>1</v>
      </c>
      <c r="H420" s="36" t="n">
        <v>1000</v>
      </c>
    </row>
    <row r="421" s="37" customFormat="true" ht="13.8" hidden="false" customHeight="false" outlineLevel="0" collapsed="false">
      <c r="A421" s="25" t="n">
        <v>475</v>
      </c>
      <c r="B421" s="32" t="s">
        <v>288</v>
      </c>
      <c r="C421" s="32" t="str">
        <f aca="false">"0857599"</f>
        <v>0857599</v>
      </c>
      <c r="D421" s="33" t="s">
        <v>322</v>
      </c>
      <c r="E421" s="32" t="n">
        <v>1989</v>
      </c>
      <c r="F421" s="34" t="n">
        <v>2987.17</v>
      </c>
      <c r="G421" s="35" t="n">
        <v>1</v>
      </c>
      <c r="H421" s="36" t="n">
        <v>200</v>
      </c>
    </row>
    <row r="422" s="37" customFormat="true" ht="13.8" hidden="false" customHeight="false" outlineLevel="0" collapsed="false">
      <c r="A422" s="31" t="n">
        <v>476</v>
      </c>
      <c r="B422" s="32" t="s">
        <v>288</v>
      </c>
      <c r="C422" s="32" t="str">
        <f aca="false">"0868272"</f>
        <v>0868272</v>
      </c>
      <c r="D422" s="33" t="s">
        <v>304</v>
      </c>
      <c r="E422" s="32" t="n">
        <v>1983</v>
      </c>
      <c r="F422" s="34" t="n">
        <v>461.89</v>
      </c>
      <c r="G422" s="35" t="n">
        <v>1</v>
      </c>
      <c r="H422" s="36" t="n">
        <v>20</v>
      </c>
    </row>
    <row r="423" s="37" customFormat="true" ht="13.8" hidden="false" customHeight="false" outlineLevel="0" collapsed="false">
      <c r="A423" s="25" t="n">
        <v>477</v>
      </c>
      <c r="B423" s="32" t="s">
        <v>288</v>
      </c>
      <c r="C423" s="32" t="str">
        <f aca="false">"0868280"</f>
        <v>0868280</v>
      </c>
      <c r="D423" s="33" t="s">
        <v>323</v>
      </c>
      <c r="E423" s="32" t="n">
        <v>1983</v>
      </c>
      <c r="F423" s="34" t="n">
        <v>1154.67</v>
      </c>
      <c r="G423" s="35" t="n">
        <v>1</v>
      </c>
      <c r="H423" s="36" t="n">
        <v>40</v>
      </c>
    </row>
    <row r="424" s="37" customFormat="true" ht="13.8" hidden="false" customHeight="false" outlineLevel="0" collapsed="false">
      <c r="A424" s="31" t="n">
        <v>478</v>
      </c>
      <c r="B424" s="32" t="s">
        <v>288</v>
      </c>
      <c r="C424" s="32" t="str">
        <f aca="false">"0868299"</f>
        <v>0868299</v>
      </c>
      <c r="D424" s="33" t="s">
        <v>289</v>
      </c>
      <c r="E424" s="32" t="n">
        <v>1983</v>
      </c>
      <c r="F424" s="34" t="n">
        <v>2886.76</v>
      </c>
      <c r="G424" s="35" t="n">
        <v>1</v>
      </c>
      <c r="H424" s="36" t="n">
        <v>120</v>
      </c>
    </row>
    <row r="425" s="37" customFormat="true" ht="13.8" hidden="false" customHeight="false" outlineLevel="0" collapsed="false">
      <c r="A425" s="25" t="n">
        <v>479</v>
      </c>
      <c r="B425" s="32" t="s">
        <v>288</v>
      </c>
      <c r="C425" s="32" t="str">
        <f aca="false">"0868302"</f>
        <v>0868302</v>
      </c>
      <c r="D425" s="33" t="s">
        <v>324</v>
      </c>
      <c r="E425" s="32" t="n">
        <v>1983</v>
      </c>
      <c r="F425" s="34" t="n">
        <v>519.58</v>
      </c>
      <c r="G425" s="35" t="n">
        <v>1</v>
      </c>
      <c r="H425" s="36" t="n">
        <v>20</v>
      </c>
    </row>
    <row r="426" s="37" customFormat="true" ht="13.8" hidden="false" customHeight="false" outlineLevel="0" collapsed="false">
      <c r="A426" s="31" t="n">
        <v>480</v>
      </c>
      <c r="B426" s="32" t="s">
        <v>288</v>
      </c>
      <c r="C426" s="32" t="str">
        <f aca="false">"0868310"</f>
        <v>0868310</v>
      </c>
      <c r="D426" s="33" t="s">
        <v>325</v>
      </c>
      <c r="E426" s="32" t="n">
        <v>1983</v>
      </c>
      <c r="F426" s="34" t="n">
        <v>375.3</v>
      </c>
      <c r="G426" s="35" t="n">
        <v>1</v>
      </c>
      <c r="H426" s="36" t="n">
        <v>15</v>
      </c>
    </row>
    <row r="427" s="37" customFormat="true" ht="13.8" hidden="false" customHeight="false" outlineLevel="0" collapsed="false">
      <c r="A427" s="25" t="n">
        <v>481</v>
      </c>
      <c r="B427" s="32" t="s">
        <v>288</v>
      </c>
      <c r="C427" s="32" t="str">
        <f aca="false">"0868329"</f>
        <v>0868329</v>
      </c>
      <c r="D427" s="33" t="s">
        <v>326</v>
      </c>
      <c r="E427" s="32" t="n">
        <v>1983</v>
      </c>
      <c r="F427" s="34" t="n">
        <v>923.8</v>
      </c>
      <c r="G427" s="35" t="n">
        <v>1</v>
      </c>
      <c r="H427" s="36" t="n">
        <v>30</v>
      </c>
    </row>
    <row r="428" s="37" customFormat="true" ht="13.8" hidden="false" customHeight="false" outlineLevel="0" collapsed="false">
      <c r="A428" s="31" t="n">
        <v>482</v>
      </c>
      <c r="B428" s="32" t="s">
        <v>288</v>
      </c>
      <c r="C428" s="32" t="str">
        <f aca="false">"0868337"</f>
        <v>0868337</v>
      </c>
      <c r="D428" s="33" t="s">
        <v>327</v>
      </c>
      <c r="E428" s="32" t="n">
        <v>1983</v>
      </c>
      <c r="F428" s="34" t="n">
        <v>750.6</v>
      </c>
      <c r="G428" s="35" t="n">
        <v>1</v>
      </c>
      <c r="H428" s="36" t="n">
        <v>30</v>
      </c>
    </row>
    <row r="429" s="37" customFormat="true" ht="13.8" hidden="false" customHeight="false" outlineLevel="0" collapsed="false">
      <c r="A429" s="25" t="n">
        <v>483</v>
      </c>
      <c r="B429" s="32" t="s">
        <v>288</v>
      </c>
      <c r="C429" s="32" t="str">
        <f aca="false">"0868353"</f>
        <v>0868353</v>
      </c>
      <c r="D429" s="33" t="s">
        <v>328</v>
      </c>
      <c r="E429" s="32" t="n">
        <v>1983</v>
      </c>
      <c r="F429" s="34" t="n">
        <v>554.23</v>
      </c>
      <c r="G429" s="35" t="n">
        <v>1</v>
      </c>
      <c r="H429" s="36" t="n">
        <v>20</v>
      </c>
    </row>
    <row r="430" s="37" customFormat="true" ht="13.8" hidden="false" customHeight="false" outlineLevel="0" collapsed="false">
      <c r="A430" s="31" t="n">
        <v>484</v>
      </c>
      <c r="B430" s="32" t="s">
        <v>288</v>
      </c>
      <c r="C430" s="32" t="str">
        <f aca="false">"0868361"</f>
        <v>0868361</v>
      </c>
      <c r="D430" s="33" t="s">
        <v>329</v>
      </c>
      <c r="E430" s="32" t="n">
        <v>1983</v>
      </c>
      <c r="F430" s="34" t="n">
        <v>923.73</v>
      </c>
      <c r="G430" s="35" t="n">
        <v>1</v>
      </c>
      <c r="H430" s="36" t="n">
        <v>40</v>
      </c>
    </row>
    <row r="431" s="37" customFormat="true" ht="13.8" hidden="false" customHeight="false" outlineLevel="0" collapsed="false">
      <c r="A431" s="25" t="n">
        <v>485</v>
      </c>
      <c r="B431" s="32" t="s">
        <v>288</v>
      </c>
      <c r="C431" s="32" t="str">
        <f aca="false">"0868370"</f>
        <v>0868370</v>
      </c>
      <c r="D431" s="33" t="s">
        <v>329</v>
      </c>
      <c r="E431" s="32" t="n">
        <v>1983</v>
      </c>
      <c r="F431" s="34" t="n">
        <v>1847.46</v>
      </c>
      <c r="G431" s="35" t="n">
        <v>1</v>
      </c>
      <c r="H431" s="36" t="n">
        <v>80</v>
      </c>
    </row>
    <row r="432" s="37" customFormat="true" ht="13.8" hidden="false" customHeight="false" outlineLevel="0" collapsed="false">
      <c r="A432" s="31" t="n">
        <v>486</v>
      </c>
      <c r="B432" s="32" t="s">
        <v>288</v>
      </c>
      <c r="C432" s="32" t="str">
        <f aca="false">"0868388"</f>
        <v>0868388</v>
      </c>
      <c r="D432" s="33" t="s">
        <v>119</v>
      </c>
      <c r="E432" s="32" t="n">
        <v>1983</v>
      </c>
      <c r="F432" s="34" t="n">
        <v>1962.97</v>
      </c>
      <c r="G432" s="35" t="n">
        <v>1</v>
      </c>
      <c r="H432" s="36" t="n">
        <v>70</v>
      </c>
    </row>
    <row r="433" s="37" customFormat="true" ht="13.8" hidden="false" customHeight="false" outlineLevel="0" collapsed="false">
      <c r="A433" s="25" t="n">
        <v>487</v>
      </c>
      <c r="B433" s="32" t="s">
        <v>288</v>
      </c>
      <c r="C433" s="32" t="str">
        <f aca="false">"0868396"</f>
        <v>0868396</v>
      </c>
      <c r="D433" s="33" t="s">
        <v>289</v>
      </c>
      <c r="E433" s="32" t="n">
        <v>1983</v>
      </c>
      <c r="F433" s="34" t="n">
        <v>288.56</v>
      </c>
      <c r="G433" s="35" t="n">
        <v>1</v>
      </c>
      <c r="H433" s="36" t="n">
        <v>15</v>
      </c>
    </row>
    <row r="434" s="37" customFormat="true" ht="13.8" hidden="false" customHeight="false" outlineLevel="0" collapsed="false">
      <c r="A434" s="31" t="n">
        <v>488</v>
      </c>
      <c r="B434" s="32" t="s">
        <v>288</v>
      </c>
      <c r="C434" s="32" t="str">
        <f aca="false">"0868400"</f>
        <v>0868400</v>
      </c>
      <c r="D434" s="33" t="s">
        <v>289</v>
      </c>
      <c r="E434" s="32" t="n">
        <v>1983</v>
      </c>
      <c r="F434" s="34" t="n">
        <v>144.28</v>
      </c>
      <c r="G434" s="35" t="n">
        <v>1</v>
      </c>
      <c r="H434" s="36" t="n">
        <v>5</v>
      </c>
    </row>
    <row r="435" s="37" customFormat="true" ht="13.8" hidden="false" customHeight="false" outlineLevel="0" collapsed="false">
      <c r="A435" s="25" t="n">
        <v>489</v>
      </c>
      <c r="B435" s="32" t="s">
        <v>288</v>
      </c>
      <c r="C435" s="32" t="str">
        <f aca="false">"0868418"</f>
        <v>0868418</v>
      </c>
      <c r="D435" s="33" t="s">
        <v>289</v>
      </c>
      <c r="E435" s="32" t="n">
        <v>1983</v>
      </c>
      <c r="F435" s="34" t="n">
        <v>288.56</v>
      </c>
      <c r="G435" s="35" t="n">
        <v>1</v>
      </c>
      <c r="H435" s="36" t="n">
        <v>15</v>
      </c>
    </row>
    <row r="436" s="37" customFormat="true" ht="13.8" hidden="false" customHeight="false" outlineLevel="0" collapsed="false">
      <c r="A436" s="31" t="n">
        <v>490</v>
      </c>
      <c r="B436" s="32" t="s">
        <v>288</v>
      </c>
      <c r="C436" s="32" t="str">
        <f aca="false">"0868426"</f>
        <v>0868426</v>
      </c>
      <c r="D436" s="33" t="s">
        <v>330</v>
      </c>
      <c r="E436" s="32" t="n">
        <v>1983</v>
      </c>
      <c r="F436" s="34" t="n">
        <v>3579.54</v>
      </c>
      <c r="G436" s="35" t="n">
        <v>1</v>
      </c>
      <c r="H436" s="36" t="n">
        <v>160</v>
      </c>
    </row>
    <row r="437" s="37" customFormat="true" ht="13.8" hidden="false" customHeight="false" outlineLevel="0" collapsed="false">
      <c r="A437" s="25" t="n">
        <v>491</v>
      </c>
      <c r="B437" s="32" t="s">
        <v>288</v>
      </c>
      <c r="C437" s="32" t="str">
        <f aca="false">"0868434"</f>
        <v>0868434</v>
      </c>
      <c r="D437" s="33" t="s">
        <v>329</v>
      </c>
      <c r="E437" s="32" t="n">
        <v>1983</v>
      </c>
      <c r="F437" s="34" t="n">
        <v>1847.46</v>
      </c>
      <c r="G437" s="35" t="n">
        <v>1</v>
      </c>
      <c r="H437" s="36" t="n">
        <v>80</v>
      </c>
    </row>
    <row r="438" s="37" customFormat="true" ht="13.8" hidden="false" customHeight="false" outlineLevel="0" collapsed="false">
      <c r="A438" s="31" t="n">
        <v>492</v>
      </c>
      <c r="B438" s="32" t="s">
        <v>288</v>
      </c>
      <c r="C438" s="32" t="str">
        <f aca="false">"0868442"</f>
        <v>0868442</v>
      </c>
      <c r="D438" s="33" t="s">
        <v>331</v>
      </c>
      <c r="E438" s="32" t="n">
        <v>1983</v>
      </c>
      <c r="F438" s="34" t="n">
        <v>969.89</v>
      </c>
      <c r="G438" s="35" t="n">
        <v>1</v>
      </c>
      <c r="H438" s="36" t="n">
        <v>40</v>
      </c>
    </row>
    <row r="439" s="37" customFormat="true" ht="13.8" hidden="false" customHeight="false" outlineLevel="0" collapsed="false">
      <c r="A439" s="25" t="n">
        <v>493</v>
      </c>
      <c r="B439" s="32" t="s">
        <v>288</v>
      </c>
      <c r="C439" s="32" t="str">
        <f aca="false">"0857785"</f>
        <v>0857785</v>
      </c>
      <c r="D439" s="33" t="s">
        <v>332</v>
      </c>
      <c r="E439" s="32" t="n">
        <v>1990</v>
      </c>
      <c r="F439" s="34" t="n">
        <f aca="false">61400*7.5*1.1</f>
        <v>506550</v>
      </c>
      <c r="G439" s="35" t="n">
        <v>1</v>
      </c>
      <c r="H439" s="36" t="n">
        <v>26600</v>
      </c>
    </row>
    <row r="440" s="37" customFormat="true" ht="13.8" hidden="false" customHeight="false" outlineLevel="0" collapsed="false">
      <c r="A440" s="31" t="n">
        <v>494</v>
      </c>
      <c r="B440" s="32" t="s">
        <v>288</v>
      </c>
      <c r="C440" s="32" t="str">
        <f aca="false">"0857793"</f>
        <v>0857793</v>
      </c>
      <c r="D440" s="33" t="s">
        <v>333</v>
      </c>
      <c r="E440" s="32" t="n">
        <v>1990</v>
      </c>
      <c r="F440" s="34" t="n">
        <v>1420.75</v>
      </c>
      <c r="G440" s="35" t="n">
        <v>4</v>
      </c>
      <c r="H440" s="36" t="n">
        <v>280</v>
      </c>
    </row>
    <row r="441" s="37" customFormat="true" ht="13.8" hidden="false" customHeight="false" outlineLevel="0" collapsed="false">
      <c r="A441" s="25" t="n">
        <v>495</v>
      </c>
      <c r="B441" s="32" t="s">
        <v>288</v>
      </c>
      <c r="C441" s="32" t="str">
        <f aca="false">"0858013"</f>
        <v>0858013</v>
      </c>
      <c r="D441" s="33" t="s">
        <v>334</v>
      </c>
      <c r="E441" s="32" t="n">
        <v>2000</v>
      </c>
      <c r="F441" s="34" t="n">
        <v>8376.65</v>
      </c>
      <c r="G441" s="35" t="n">
        <v>1</v>
      </c>
      <c r="H441" s="36" t="n">
        <v>520</v>
      </c>
    </row>
    <row r="442" s="37" customFormat="true" ht="13.8" hidden="false" customHeight="false" outlineLevel="0" collapsed="false">
      <c r="A442" s="31" t="n">
        <v>496</v>
      </c>
      <c r="B442" s="32" t="s">
        <v>288</v>
      </c>
      <c r="C442" s="32" t="str">
        <f aca="false">"0858021"</f>
        <v>0858021</v>
      </c>
      <c r="D442" s="33" t="s">
        <v>335</v>
      </c>
      <c r="E442" s="32" t="n">
        <v>2000</v>
      </c>
      <c r="F442" s="34" t="n">
        <v>14252.04</v>
      </c>
      <c r="G442" s="35" t="n">
        <v>2</v>
      </c>
      <c r="H442" s="36" t="n">
        <v>2000</v>
      </c>
    </row>
    <row r="443" s="37" customFormat="true" ht="13.8" hidden="false" customHeight="false" outlineLevel="0" collapsed="false">
      <c r="A443" s="25" t="n">
        <v>497</v>
      </c>
      <c r="B443" s="32" t="s">
        <v>288</v>
      </c>
      <c r="C443" s="32" t="str">
        <f aca="false">"0858048"</f>
        <v>0858048</v>
      </c>
      <c r="D443" s="33" t="s">
        <v>336</v>
      </c>
      <c r="E443" s="32" t="n">
        <v>2000</v>
      </c>
      <c r="F443" s="34" t="n">
        <v>8733.92</v>
      </c>
      <c r="G443" s="35" t="n">
        <v>1</v>
      </c>
      <c r="H443" s="36" t="n">
        <v>550</v>
      </c>
    </row>
    <row r="444" s="37" customFormat="true" ht="13.8" hidden="false" customHeight="false" outlineLevel="0" collapsed="false">
      <c r="A444" s="31" t="n">
        <v>498</v>
      </c>
      <c r="B444" s="32" t="s">
        <v>288</v>
      </c>
      <c r="C444" s="32" t="str">
        <f aca="false">"0858064"</f>
        <v>0858064</v>
      </c>
      <c r="D444" s="33" t="s">
        <v>337</v>
      </c>
      <c r="E444" s="32" t="n">
        <v>2000</v>
      </c>
      <c r="F444" s="34" t="n">
        <v>34812.75</v>
      </c>
      <c r="G444" s="35" t="n">
        <v>3</v>
      </c>
      <c r="H444" s="36" t="n">
        <v>6600</v>
      </c>
    </row>
    <row r="445" s="37" customFormat="true" ht="13.8" hidden="false" customHeight="false" outlineLevel="0" collapsed="false">
      <c r="A445" s="25" t="n">
        <v>499</v>
      </c>
      <c r="B445" s="32" t="s">
        <v>288</v>
      </c>
      <c r="C445" s="32" t="str">
        <f aca="false">"0858099"</f>
        <v>0858099</v>
      </c>
      <c r="D445" s="33" t="s">
        <v>338</v>
      </c>
      <c r="E445" s="32" t="n">
        <v>2000</v>
      </c>
      <c r="F445" s="34" t="n">
        <v>14055.25</v>
      </c>
      <c r="G445" s="35" t="n">
        <v>3</v>
      </c>
      <c r="H445" s="36" t="n">
        <v>2550</v>
      </c>
    </row>
    <row r="446" s="37" customFormat="true" ht="13.8" hidden="false" customHeight="false" outlineLevel="0" collapsed="false">
      <c r="A446" s="31" t="n">
        <v>500</v>
      </c>
      <c r="B446" s="32" t="s">
        <v>288</v>
      </c>
      <c r="C446" s="32" t="str">
        <f aca="false">"0858129"</f>
        <v>0858129</v>
      </c>
      <c r="D446" s="33" t="s">
        <v>339</v>
      </c>
      <c r="E446" s="32" t="n">
        <v>2000</v>
      </c>
      <c r="F446" s="34" t="n">
        <v>31670.5</v>
      </c>
      <c r="G446" s="35" t="n">
        <v>7</v>
      </c>
      <c r="H446" s="36" t="n">
        <v>13650</v>
      </c>
    </row>
    <row r="447" s="37" customFormat="true" ht="13.8" hidden="false" customHeight="false" outlineLevel="0" collapsed="false">
      <c r="A447" s="25" t="n">
        <v>501</v>
      </c>
      <c r="B447" s="32" t="s">
        <v>288</v>
      </c>
      <c r="C447" s="32" t="str">
        <f aca="false">"0858196"</f>
        <v>0858196</v>
      </c>
      <c r="D447" s="33" t="s">
        <v>340</v>
      </c>
      <c r="E447" s="32" t="n">
        <v>2000</v>
      </c>
      <c r="F447" s="34" t="n">
        <v>10636.05</v>
      </c>
      <c r="G447" s="35" t="n">
        <v>5</v>
      </c>
      <c r="H447" s="36" t="n">
        <v>3250</v>
      </c>
    </row>
    <row r="448" s="37" customFormat="true" ht="13.8" hidden="false" customHeight="false" outlineLevel="0" collapsed="false">
      <c r="A448" s="31" t="n">
        <v>502</v>
      </c>
      <c r="B448" s="32" t="s">
        <v>288</v>
      </c>
      <c r="C448" s="32" t="str">
        <f aca="false">"0858242"</f>
        <v>0858242</v>
      </c>
      <c r="D448" s="33" t="s">
        <v>341</v>
      </c>
      <c r="E448" s="32" t="n">
        <v>2000</v>
      </c>
      <c r="F448" s="34" t="n">
        <v>6030.6</v>
      </c>
      <c r="G448" s="35" t="n">
        <v>10</v>
      </c>
      <c r="H448" s="36" t="n">
        <v>3800</v>
      </c>
    </row>
    <row r="449" s="37" customFormat="true" ht="13.8" hidden="false" customHeight="false" outlineLevel="0" collapsed="false">
      <c r="A449" s="25" t="n">
        <v>503</v>
      </c>
      <c r="B449" s="32" t="s">
        <v>288</v>
      </c>
      <c r="C449" s="32" t="str">
        <f aca="false">"0858340"</f>
        <v>0858340</v>
      </c>
      <c r="D449" s="33" t="s">
        <v>342</v>
      </c>
      <c r="E449" s="32" t="n">
        <v>2000</v>
      </c>
      <c r="F449" s="34" t="n">
        <v>6069.81</v>
      </c>
      <c r="G449" s="35" t="n">
        <v>4</v>
      </c>
      <c r="H449" s="36" t="n">
        <v>1520</v>
      </c>
    </row>
    <row r="450" s="37" customFormat="true" ht="13.8" hidden="false" customHeight="false" outlineLevel="0" collapsed="false">
      <c r="A450" s="31" t="n">
        <v>504</v>
      </c>
      <c r="B450" s="32" t="s">
        <v>288</v>
      </c>
      <c r="C450" s="32" t="str">
        <f aca="false">"0858382"</f>
        <v>0858382</v>
      </c>
      <c r="D450" s="33" t="s">
        <v>343</v>
      </c>
      <c r="E450" s="32" t="n">
        <v>2000</v>
      </c>
      <c r="F450" s="34" t="n">
        <f aca="false">3367.77</f>
        <v>3367.77</v>
      </c>
      <c r="G450" s="35" t="n">
        <v>3</v>
      </c>
      <c r="H450" s="36" t="n">
        <v>630</v>
      </c>
    </row>
    <row r="451" s="37" customFormat="true" ht="13.8" hidden="false" customHeight="false" outlineLevel="0" collapsed="false">
      <c r="A451" s="25" t="n">
        <v>505</v>
      </c>
      <c r="B451" s="32" t="s">
        <v>288</v>
      </c>
      <c r="C451" s="32" t="str">
        <f aca="false">"0858412"</f>
        <v>0858412</v>
      </c>
      <c r="D451" s="33" t="s">
        <v>344</v>
      </c>
      <c r="E451" s="32" t="n">
        <v>2000</v>
      </c>
      <c r="F451" s="34" t="n">
        <f aca="false">3798.53</f>
        <v>3798.53</v>
      </c>
      <c r="G451" s="35" t="n">
        <v>3</v>
      </c>
      <c r="H451" s="36" t="n">
        <v>720</v>
      </c>
    </row>
    <row r="452" s="37" customFormat="true" ht="13.8" hidden="false" customHeight="false" outlineLevel="0" collapsed="false">
      <c r="A452" s="31" t="n">
        <v>506</v>
      </c>
      <c r="B452" s="32" t="s">
        <v>288</v>
      </c>
      <c r="C452" s="32" t="str">
        <f aca="false">"0858447"</f>
        <v>0858447</v>
      </c>
      <c r="D452" s="33" t="s">
        <v>345</v>
      </c>
      <c r="E452" s="32" t="n">
        <v>2000</v>
      </c>
      <c r="F452" s="34" t="n">
        <v>3583.14</v>
      </c>
      <c r="G452" s="35" t="n">
        <v>16</v>
      </c>
      <c r="H452" s="36" t="n">
        <v>4000</v>
      </c>
    </row>
    <row r="453" s="37" customFormat="true" ht="13.8" hidden="false" customHeight="false" outlineLevel="0" collapsed="false">
      <c r="A453" s="25" t="n">
        <v>507</v>
      </c>
      <c r="B453" s="32" t="s">
        <v>288</v>
      </c>
      <c r="C453" s="32" t="str">
        <f aca="false">"0869678"</f>
        <v>0869678</v>
      </c>
      <c r="D453" s="33" t="s">
        <v>202</v>
      </c>
      <c r="E453" s="32" t="n">
        <v>1984</v>
      </c>
      <c r="F453" s="34" t="n">
        <v>1463.12</v>
      </c>
      <c r="G453" s="35" t="n">
        <v>1</v>
      </c>
      <c r="H453" s="36" t="n">
        <v>60</v>
      </c>
    </row>
    <row r="454" s="37" customFormat="true" ht="13.8" hidden="false" customHeight="false" outlineLevel="0" collapsed="false">
      <c r="A454" s="31" t="n">
        <v>508</v>
      </c>
      <c r="B454" s="32" t="s">
        <v>288</v>
      </c>
      <c r="C454" s="32" t="str">
        <f aca="false">"0869686"</f>
        <v>0869686</v>
      </c>
      <c r="D454" s="33" t="s">
        <v>346</v>
      </c>
      <c r="E454" s="32" t="n">
        <v>1984</v>
      </c>
      <c r="F454" s="34" t="n">
        <v>2198.68</v>
      </c>
      <c r="G454" s="35" t="n">
        <v>1</v>
      </c>
      <c r="H454" s="36" t="n">
        <v>100</v>
      </c>
    </row>
    <row r="455" s="37" customFormat="true" ht="13.8" hidden="false" customHeight="false" outlineLevel="0" collapsed="false">
      <c r="A455" s="25" t="n">
        <v>509</v>
      </c>
      <c r="B455" s="32" t="s">
        <v>288</v>
      </c>
      <c r="C455" s="32" t="str">
        <f aca="false">"0869694"</f>
        <v>0869694</v>
      </c>
      <c r="D455" s="33" t="s">
        <v>347</v>
      </c>
      <c r="E455" s="32" t="n">
        <v>1984</v>
      </c>
      <c r="F455" s="34" t="n">
        <v>589.14</v>
      </c>
      <c r="G455" s="35" t="n">
        <v>1</v>
      </c>
      <c r="H455" s="36" t="n">
        <v>20</v>
      </c>
    </row>
    <row r="456" s="37" customFormat="true" ht="13.8" hidden="false" customHeight="false" outlineLevel="0" collapsed="false">
      <c r="A456" s="31" t="n">
        <v>510</v>
      </c>
      <c r="B456" s="32" t="s">
        <v>288</v>
      </c>
      <c r="C456" s="32" t="str">
        <f aca="false">"0869708"</f>
        <v>0869708</v>
      </c>
      <c r="D456" s="33" t="s">
        <v>348</v>
      </c>
      <c r="E456" s="32" t="n">
        <v>1984</v>
      </c>
      <c r="F456" s="34" t="n">
        <v>3756.74</v>
      </c>
      <c r="G456" s="35" t="n">
        <v>1</v>
      </c>
      <c r="H456" s="36" t="n">
        <v>170</v>
      </c>
    </row>
    <row r="457" s="37" customFormat="true" ht="13.8" hidden="false" customHeight="false" outlineLevel="0" collapsed="false">
      <c r="A457" s="25" t="n">
        <v>511</v>
      </c>
      <c r="B457" s="32" t="s">
        <v>288</v>
      </c>
      <c r="C457" s="32" t="str">
        <f aca="false">"0858773"</f>
        <v>0858773</v>
      </c>
      <c r="D457" s="33" t="s">
        <v>349</v>
      </c>
      <c r="E457" s="32" t="n">
        <v>2002</v>
      </c>
      <c r="F457" s="34" t="n">
        <v>229020</v>
      </c>
      <c r="G457" s="35" t="n">
        <v>1</v>
      </c>
      <c r="H457" s="36" t="n">
        <v>14250</v>
      </c>
    </row>
    <row r="458" s="37" customFormat="true" ht="13.8" hidden="false" customHeight="false" outlineLevel="0" collapsed="false">
      <c r="A458" s="31" t="n">
        <v>512</v>
      </c>
      <c r="B458" s="32" t="s">
        <v>288</v>
      </c>
      <c r="C458" s="32" t="str">
        <f aca="false">"0858781"</f>
        <v>0858781</v>
      </c>
      <c r="D458" s="33" t="s">
        <v>350</v>
      </c>
      <c r="E458" s="32" t="n">
        <v>2002</v>
      </c>
      <c r="F458" s="34" t="n">
        <v>11780</v>
      </c>
      <c r="G458" s="35" t="n">
        <v>1</v>
      </c>
      <c r="H458" s="36" t="n">
        <v>750</v>
      </c>
    </row>
    <row r="459" s="37" customFormat="true" ht="13.8" hidden="false" customHeight="false" outlineLevel="0" collapsed="false">
      <c r="A459" s="25" t="n">
        <v>513</v>
      </c>
      <c r="B459" s="32" t="s">
        <v>288</v>
      </c>
      <c r="C459" s="32" t="str">
        <f aca="false">"0859109"</f>
        <v>0859109</v>
      </c>
      <c r="D459" s="33" t="s">
        <v>351</v>
      </c>
      <c r="E459" s="32" t="n">
        <v>2004</v>
      </c>
      <c r="F459" s="34" t="n">
        <v>35280</v>
      </c>
      <c r="G459" s="35" t="n">
        <v>1</v>
      </c>
      <c r="H459" s="36" t="n">
        <v>2300</v>
      </c>
    </row>
    <row r="460" s="37" customFormat="true" ht="13.8" hidden="false" customHeight="false" outlineLevel="0" collapsed="false">
      <c r="A460" s="31" t="n">
        <v>514</v>
      </c>
      <c r="B460" s="32" t="s">
        <v>288</v>
      </c>
      <c r="C460" s="32" t="str">
        <f aca="false">"0859117"</f>
        <v>0859117</v>
      </c>
      <c r="D460" s="33" t="s">
        <v>352</v>
      </c>
      <c r="E460" s="32" t="n">
        <v>2004</v>
      </c>
      <c r="F460" s="34" t="n">
        <v>33860</v>
      </c>
      <c r="G460" s="35" t="n">
        <v>4</v>
      </c>
      <c r="H460" s="36" t="n">
        <v>8800</v>
      </c>
    </row>
    <row r="461" s="37" customFormat="true" ht="13.8" hidden="false" customHeight="false" outlineLevel="0" collapsed="false">
      <c r="A461" s="31" t="n">
        <v>516</v>
      </c>
      <c r="B461" s="32" t="s">
        <v>288</v>
      </c>
      <c r="C461" s="32" t="str">
        <f aca="false">"0859419"</f>
        <v>0859419</v>
      </c>
      <c r="D461" s="33" t="s">
        <v>353</v>
      </c>
      <c r="E461" s="32" t="n">
        <v>2006</v>
      </c>
      <c r="F461" s="34" t="n">
        <v>8646</v>
      </c>
      <c r="G461" s="35" t="n">
        <v>2</v>
      </c>
      <c r="H461" s="36" t="n">
        <v>1800</v>
      </c>
    </row>
    <row r="462" s="37" customFormat="true" ht="13.8" hidden="false" customHeight="false" outlineLevel="0" collapsed="false">
      <c r="A462" s="25" t="n">
        <v>517</v>
      </c>
      <c r="B462" s="32" t="s">
        <v>288</v>
      </c>
      <c r="C462" s="32" t="str">
        <f aca="false">"0870560"</f>
        <v>0870560</v>
      </c>
      <c r="D462" s="33" t="s">
        <v>346</v>
      </c>
      <c r="E462" s="32" t="n">
        <v>1984</v>
      </c>
      <c r="F462" s="34" t="n">
        <v>147.8</v>
      </c>
      <c r="G462" s="35" t="n">
        <v>1</v>
      </c>
      <c r="H462" s="36" t="n">
        <v>10</v>
      </c>
    </row>
    <row r="463" s="37" customFormat="true" ht="13.8" hidden="false" customHeight="false" outlineLevel="0" collapsed="false">
      <c r="A463" s="31" t="n">
        <v>518</v>
      </c>
      <c r="B463" s="32" t="s">
        <v>288</v>
      </c>
      <c r="C463" s="32" t="str">
        <f aca="false">"0870579"</f>
        <v>0870579</v>
      </c>
      <c r="D463" s="33" t="s">
        <v>346</v>
      </c>
      <c r="E463" s="32" t="n">
        <v>1984</v>
      </c>
      <c r="F463" s="34" t="n">
        <v>395.38</v>
      </c>
      <c r="G463" s="35" t="n">
        <v>3</v>
      </c>
      <c r="H463" s="36" t="n">
        <v>60</v>
      </c>
    </row>
    <row r="464" s="37" customFormat="true" ht="13.8" hidden="false" customHeight="false" outlineLevel="0" collapsed="false">
      <c r="A464" s="25" t="n">
        <v>519</v>
      </c>
      <c r="B464" s="32" t="s">
        <v>288</v>
      </c>
      <c r="C464" s="32" t="str">
        <f aca="false">"0870595"</f>
        <v>0870595</v>
      </c>
      <c r="D464" s="33" t="s">
        <v>354</v>
      </c>
      <c r="E464" s="32" t="n">
        <v>1984</v>
      </c>
      <c r="F464" s="34" t="n">
        <v>147.8</v>
      </c>
      <c r="G464" s="35" t="n">
        <v>1</v>
      </c>
      <c r="H464" s="36" t="n">
        <v>5</v>
      </c>
    </row>
    <row r="465" s="37" customFormat="true" ht="13.8" hidden="false" customHeight="false" outlineLevel="0" collapsed="false">
      <c r="A465" s="31" t="n">
        <v>520</v>
      </c>
      <c r="B465" s="32" t="s">
        <v>288</v>
      </c>
      <c r="C465" s="32" t="str">
        <f aca="false">"0859435"</f>
        <v>0859435</v>
      </c>
      <c r="D465" s="33" t="s">
        <v>355</v>
      </c>
      <c r="E465" s="32" t="n">
        <v>2006</v>
      </c>
      <c r="F465" s="34" t="n">
        <v>9987</v>
      </c>
      <c r="G465" s="35" t="n">
        <v>2</v>
      </c>
      <c r="H465" s="36" t="n">
        <v>1700</v>
      </c>
    </row>
    <row r="466" s="37" customFormat="true" ht="13.8" hidden="false" customHeight="false" outlineLevel="0" collapsed="false">
      <c r="A466" s="25" t="n">
        <v>521</v>
      </c>
      <c r="B466" s="32" t="s">
        <v>288</v>
      </c>
      <c r="C466" s="32" t="str">
        <f aca="false">"0859478"</f>
        <v>0859478</v>
      </c>
      <c r="D466" s="33" t="s">
        <v>356</v>
      </c>
      <c r="E466" s="32" t="n">
        <v>2006</v>
      </c>
      <c r="F466" s="34" t="n">
        <v>3400</v>
      </c>
      <c r="G466" s="35" t="n">
        <v>2</v>
      </c>
      <c r="H466" s="36" t="n">
        <v>500</v>
      </c>
    </row>
    <row r="467" s="37" customFormat="true" ht="13.8" hidden="false" customHeight="false" outlineLevel="0" collapsed="false">
      <c r="A467" s="31" t="n">
        <v>522</v>
      </c>
      <c r="B467" s="32" t="s">
        <v>288</v>
      </c>
      <c r="C467" s="32" t="str">
        <f aca="false">"0859494"</f>
        <v>0859494</v>
      </c>
      <c r="D467" s="33" t="s">
        <v>100</v>
      </c>
      <c r="E467" s="32" t="n">
        <v>2006</v>
      </c>
      <c r="F467" s="34" t="n">
        <v>3600</v>
      </c>
      <c r="G467" s="35" t="n">
        <v>3</v>
      </c>
      <c r="H467" s="36" t="n">
        <v>750</v>
      </c>
    </row>
    <row r="468" s="37" customFormat="true" ht="13.8" hidden="false" customHeight="false" outlineLevel="0" collapsed="false">
      <c r="A468" s="25" t="n">
        <v>523</v>
      </c>
      <c r="B468" s="32" t="s">
        <v>288</v>
      </c>
      <c r="C468" s="32" t="str">
        <f aca="false">"0859796"</f>
        <v>0859796</v>
      </c>
      <c r="D468" s="33" t="s">
        <v>357</v>
      </c>
      <c r="E468" s="32" t="n">
        <v>2008</v>
      </c>
      <c r="F468" s="34" t="n">
        <v>11380.77</v>
      </c>
      <c r="G468" s="35" t="n">
        <v>2</v>
      </c>
      <c r="H468" s="36" t="n">
        <v>2400</v>
      </c>
    </row>
    <row r="469" s="37" customFormat="true" ht="13.8" hidden="false" customHeight="false" outlineLevel="0" collapsed="false">
      <c r="A469" s="31" t="n">
        <v>524</v>
      </c>
      <c r="B469" s="32" t="s">
        <v>288</v>
      </c>
      <c r="C469" s="32" t="str">
        <f aca="false">"0859818"</f>
        <v>0859818</v>
      </c>
      <c r="D469" s="33" t="s">
        <v>358</v>
      </c>
      <c r="E469" s="32" t="n">
        <v>2008</v>
      </c>
      <c r="F469" s="34" t="n">
        <v>18830</v>
      </c>
      <c r="G469" s="35" t="n">
        <v>1</v>
      </c>
      <c r="H469" s="36" t="n">
        <v>1950</v>
      </c>
    </row>
    <row r="470" s="37" customFormat="true" ht="13.8" hidden="false" customHeight="false" outlineLevel="0" collapsed="false">
      <c r="A470" s="25" t="n">
        <v>525</v>
      </c>
      <c r="B470" s="32" t="s">
        <v>288</v>
      </c>
      <c r="C470" s="32" t="str">
        <f aca="false">"0859834"</f>
        <v>0859834</v>
      </c>
      <c r="D470" s="33" t="s">
        <v>359</v>
      </c>
      <c r="E470" s="32" t="n">
        <v>2008</v>
      </c>
      <c r="F470" s="34" t="n">
        <v>9500</v>
      </c>
      <c r="G470" s="35" t="n">
        <v>2</v>
      </c>
      <c r="H470" s="36" t="n">
        <v>2000</v>
      </c>
    </row>
    <row r="471" s="37" customFormat="true" ht="13.8" hidden="false" customHeight="false" outlineLevel="0" collapsed="false">
      <c r="A471" s="31" t="n">
        <v>526</v>
      </c>
      <c r="B471" s="32" t="s">
        <v>288</v>
      </c>
      <c r="C471" s="32" t="str">
        <f aca="false">"0859869"</f>
        <v>0859869</v>
      </c>
      <c r="D471" s="33" t="s">
        <v>360</v>
      </c>
      <c r="E471" s="32" t="n">
        <v>2008</v>
      </c>
      <c r="F471" s="34" t="n">
        <v>18830</v>
      </c>
      <c r="G471" s="35" t="n">
        <v>2</v>
      </c>
      <c r="H471" s="36" t="n">
        <v>4000</v>
      </c>
    </row>
    <row r="472" s="37" customFormat="true" ht="13.8" hidden="false" customHeight="false" outlineLevel="0" collapsed="false">
      <c r="A472" s="25" t="n">
        <v>527</v>
      </c>
      <c r="B472" s="32" t="s">
        <v>288</v>
      </c>
      <c r="C472" s="32" t="str">
        <f aca="false">"0859940"</f>
        <v>0859940</v>
      </c>
      <c r="D472" s="33" t="s">
        <v>361</v>
      </c>
      <c r="E472" s="32" t="n">
        <v>2008</v>
      </c>
      <c r="F472" s="34" t="n">
        <v>7375</v>
      </c>
      <c r="G472" s="35" t="n">
        <v>1</v>
      </c>
      <c r="H472" s="36" t="n">
        <v>800</v>
      </c>
    </row>
    <row r="473" s="37" customFormat="true" ht="13.8" hidden="false" customHeight="false" outlineLevel="0" collapsed="false">
      <c r="A473" s="31" t="n">
        <v>528</v>
      </c>
      <c r="B473" s="32" t="s">
        <v>288</v>
      </c>
      <c r="C473" s="32" t="str">
        <f aca="false">"0859966"</f>
        <v>0859966</v>
      </c>
      <c r="D473" s="33" t="s">
        <v>251</v>
      </c>
      <c r="E473" s="32" t="n">
        <v>2008</v>
      </c>
      <c r="F473" s="34" t="n">
        <v>3700</v>
      </c>
      <c r="G473" s="35" t="n">
        <v>3</v>
      </c>
      <c r="H473" s="36" t="n">
        <v>7320</v>
      </c>
    </row>
    <row r="474" s="37" customFormat="true" ht="13.8" hidden="false" customHeight="false" outlineLevel="0" collapsed="false">
      <c r="A474" s="25" t="n">
        <v>529</v>
      </c>
      <c r="B474" s="32" t="s">
        <v>288</v>
      </c>
      <c r="C474" s="32" t="str">
        <f aca="false">"0860085"</f>
        <v>0860085</v>
      </c>
      <c r="D474" s="33" t="s">
        <v>362</v>
      </c>
      <c r="E474" s="32" t="n">
        <v>2009</v>
      </c>
      <c r="F474" s="34" t="n">
        <v>27740</v>
      </c>
      <c r="G474" s="35" t="n">
        <v>1</v>
      </c>
      <c r="H474" s="36" t="n">
        <v>3120</v>
      </c>
    </row>
    <row r="475" s="37" customFormat="true" ht="13.8" hidden="false" customHeight="false" outlineLevel="0" collapsed="false">
      <c r="A475" s="31" t="n">
        <v>530</v>
      </c>
      <c r="B475" s="32" t="s">
        <v>288</v>
      </c>
      <c r="C475" s="32" t="str">
        <f aca="false">"0860093"</f>
        <v>0860093</v>
      </c>
      <c r="D475" s="33" t="s">
        <v>363</v>
      </c>
      <c r="E475" s="32" t="n">
        <v>2009</v>
      </c>
      <c r="F475" s="34" t="n">
        <v>11580</v>
      </c>
      <c r="G475" s="35" t="n">
        <v>1</v>
      </c>
      <c r="H475" s="36" t="n">
        <v>1300</v>
      </c>
    </row>
    <row r="476" s="37" customFormat="true" ht="13.8" hidden="false" customHeight="false" outlineLevel="0" collapsed="false">
      <c r="A476" s="25" t="n">
        <v>531</v>
      </c>
      <c r="B476" s="32" t="s">
        <v>288</v>
      </c>
      <c r="C476" s="32" t="str">
        <f aca="false">"0871702"</f>
        <v>0871702</v>
      </c>
      <c r="D476" s="33" t="s">
        <v>364</v>
      </c>
      <c r="E476" s="32" t="n">
        <v>1986</v>
      </c>
      <c r="F476" s="34" t="n">
        <v>732.25</v>
      </c>
      <c r="G476" s="35" t="n">
        <v>1</v>
      </c>
      <c r="H476" s="36" t="n">
        <v>30</v>
      </c>
    </row>
    <row r="477" s="37" customFormat="true" ht="13.8" hidden="false" customHeight="false" outlineLevel="0" collapsed="false">
      <c r="A477" s="31" t="n">
        <v>532</v>
      </c>
      <c r="B477" s="32" t="s">
        <v>288</v>
      </c>
      <c r="C477" s="32" t="str">
        <f aca="false">"0860239"</f>
        <v>0860239</v>
      </c>
      <c r="D477" s="33" t="s">
        <v>365</v>
      </c>
      <c r="E477" s="32" t="n">
        <v>2009</v>
      </c>
      <c r="F477" s="34" t="n">
        <v>6600</v>
      </c>
      <c r="G477" s="35" t="n">
        <v>1</v>
      </c>
      <c r="H477" s="36" t="n">
        <v>920</v>
      </c>
    </row>
    <row r="478" s="37" customFormat="true" ht="13.8" hidden="false" customHeight="false" outlineLevel="0" collapsed="false">
      <c r="A478" s="25" t="n">
        <v>533</v>
      </c>
      <c r="B478" s="32" t="s">
        <v>288</v>
      </c>
      <c r="C478" s="32" t="str">
        <f aca="false">"0860255"</f>
        <v>0860255</v>
      </c>
      <c r="D478" s="33" t="s">
        <v>366</v>
      </c>
      <c r="E478" s="32" t="n">
        <v>2009</v>
      </c>
      <c r="F478" s="34" t="n">
        <v>7500</v>
      </c>
      <c r="G478" s="35" t="n">
        <v>2</v>
      </c>
      <c r="H478" s="36" t="n">
        <v>2100</v>
      </c>
    </row>
    <row r="479" s="37" customFormat="true" ht="13.8" hidden="false" customHeight="false" outlineLevel="0" collapsed="false">
      <c r="A479" s="31" t="n">
        <v>534</v>
      </c>
      <c r="B479" s="32" t="s">
        <v>288</v>
      </c>
      <c r="C479" s="32" t="str">
        <f aca="false">"0860310"</f>
        <v>0860310</v>
      </c>
      <c r="D479" s="33" t="s">
        <v>367</v>
      </c>
      <c r="E479" s="32" t="n">
        <v>2009</v>
      </c>
      <c r="F479" s="34" t="n">
        <v>35532.75</v>
      </c>
      <c r="G479" s="35" t="n">
        <v>1</v>
      </c>
      <c r="H479" s="36" t="n">
        <v>4900</v>
      </c>
    </row>
    <row r="480" s="37" customFormat="true" ht="13.8" hidden="false" customHeight="false" outlineLevel="0" collapsed="false">
      <c r="A480" s="25" t="n">
        <v>535</v>
      </c>
      <c r="B480" s="32" t="s">
        <v>288</v>
      </c>
      <c r="C480" s="32" t="str">
        <f aca="false">"0860336"</f>
        <v>0860336</v>
      </c>
      <c r="D480" s="33" t="s">
        <v>368</v>
      </c>
      <c r="E480" s="32" t="n">
        <v>2009</v>
      </c>
      <c r="F480" s="34" t="n">
        <v>4875.26</v>
      </c>
      <c r="G480" s="35" t="n">
        <v>1</v>
      </c>
      <c r="H480" s="36" t="n">
        <v>550</v>
      </c>
    </row>
    <row r="481" s="37" customFormat="true" ht="13.8" hidden="false" customHeight="false" outlineLevel="0" collapsed="false">
      <c r="A481" s="31" t="n">
        <v>536</v>
      </c>
      <c r="B481" s="32" t="s">
        <v>288</v>
      </c>
      <c r="C481" s="32" t="str">
        <f aca="false">"0860344"</f>
        <v>0860344</v>
      </c>
      <c r="D481" s="33" t="s">
        <v>369</v>
      </c>
      <c r="E481" s="32" t="n">
        <v>2009</v>
      </c>
      <c r="F481" s="34" t="n">
        <v>5475.26</v>
      </c>
      <c r="G481" s="35" t="n">
        <v>1</v>
      </c>
      <c r="H481" s="36" t="n">
        <v>620</v>
      </c>
    </row>
    <row r="482" s="37" customFormat="true" ht="13.8" hidden="false" customHeight="false" outlineLevel="0" collapsed="false">
      <c r="A482" s="25" t="n">
        <v>537</v>
      </c>
      <c r="B482" s="32" t="s">
        <v>288</v>
      </c>
      <c r="C482" s="32" t="str">
        <f aca="false">"0860395"</f>
        <v>0860395</v>
      </c>
      <c r="D482" s="33" t="s">
        <v>370</v>
      </c>
      <c r="E482" s="32" t="n">
        <v>2010</v>
      </c>
      <c r="F482" s="34" t="n">
        <v>2500</v>
      </c>
      <c r="G482" s="35" t="n">
        <v>1</v>
      </c>
      <c r="H482" s="36" t="n">
        <v>270</v>
      </c>
    </row>
    <row r="483" s="37" customFormat="true" ht="13.8" hidden="false" customHeight="false" outlineLevel="0" collapsed="false">
      <c r="A483" s="25" t="n">
        <v>539</v>
      </c>
      <c r="B483" s="32" t="s">
        <v>288</v>
      </c>
      <c r="C483" s="32" t="str">
        <f aca="false">"0860492"</f>
        <v>0860492</v>
      </c>
      <c r="D483" s="33" t="s">
        <v>371</v>
      </c>
      <c r="E483" s="32" t="n">
        <v>1950</v>
      </c>
      <c r="F483" s="34" t="n">
        <f aca="false">20495.55*1.4</f>
        <v>28693.77</v>
      </c>
      <c r="G483" s="35" t="n">
        <v>1</v>
      </c>
      <c r="H483" s="36" t="n">
        <v>500</v>
      </c>
    </row>
    <row r="484" s="37" customFormat="true" ht="13.8" hidden="false" customHeight="false" outlineLevel="0" collapsed="false">
      <c r="A484" s="31" t="n">
        <v>540</v>
      </c>
      <c r="B484" s="32" t="s">
        <v>288</v>
      </c>
      <c r="C484" s="32" t="str">
        <f aca="false">"0860506"</f>
        <v>0860506</v>
      </c>
      <c r="D484" s="33" t="s">
        <v>372</v>
      </c>
      <c r="E484" s="32" t="n">
        <v>1954</v>
      </c>
      <c r="F484" s="34" t="n">
        <f aca="false">213087.68*1.4</f>
        <v>298322.752</v>
      </c>
      <c r="G484" s="35" t="n">
        <v>1</v>
      </c>
      <c r="H484" s="36" t="n">
        <v>6200</v>
      </c>
    </row>
    <row r="485" s="37" customFormat="true" ht="13.8" hidden="false" customHeight="false" outlineLevel="0" collapsed="false">
      <c r="A485" s="25" t="n">
        <v>541</v>
      </c>
      <c r="B485" s="32" t="s">
        <v>288</v>
      </c>
      <c r="C485" s="32" t="str">
        <f aca="false">"0860514"</f>
        <v>0860514</v>
      </c>
      <c r="D485" s="33" t="s">
        <v>373</v>
      </c>
      <c r="E485" s="32" t="n">
        <v>1954</v>
      </c>
      <c r="F485" s="34" t="n">
        <f aca="false">219418.1*1.4</f>
        <v>307185.34</v>
      </c>
      <c r="G485" s="35" t="n">
        <v>1</v>
      </c>
      <c r="H485" s="36" t="n">
        <v>6400</v>
      </c>
    </row>
    <row r="486" s="37" customFormat="true" ht="13.8" hidden="false" customHeight="false" outlineLevel="0" collapsed="false">
      <c r="A486" s="31" t="n">
        <v>542</v>
      </c>
      <c r="B486" s="32" t="s">
        <v>288</v>
      </c>
      <c r="C486" s="32" t="str">
        <f aca="false">"0860530"</f>
        <v>0860530</v>
      </c>
      <c r="D486" s="33" t="s">
        <v>374</v>
      </c>
      <c r="E486" s="32" t="n">
        <v>1954</v>
      </c>
      <c r="F486" s="34" t="n">
        <f aca="false">197672.9*1.4</f>
        <v>276742.06</v>
      </c>
      <c r="G486" s="35" t="n">
        <v>1</v>
      </c>
      <c r="H486" s="36" t="n">
        <v>5800</v>
      </c>
    </row>
    <row r="487" s="37" customFormat="true" ht="13.8" hidden="false" customHeight="false" outlineLevel="0" collapsed="false">
      <c r="A487" s="25" t="n">
        <v>543</v>
      </c>
      <c r="B487" s="32" t="s">
        <v>288</v>
      </c>
      <c r="C487" s="32" t="str">
        <f aca="false">"0860522"</f>
        <v>0860522</v>
      </c>
      <c r="D487" s="33" t="s">
        <v>375</v>
      </c>
      <c r="E487" s="32" t="n">
        <v>1979</v>
      </c>
      <c r="F487" s="34" t="n">
        <f aca="false">258455.83*1.3</f>
        <v>335992.579</v>
      </c>
      <c r="G487" s="35" t="n">
        <v>1</v>
      </c>
      <c r="H487" s="36" t="n">
        <v>9000</v>
      </c>
    </row>
    <row r="488" s="37" customFormat="true" ht="13.8" hidden="false" customHeight="false" outlineLevel="0" collapsed="false">
      <c r="A488" s="31" t="n">
        <v>544</v>
      </c>
      <c r="B488" s="32" t="s">
        <v>288</v>
      </c>
      <c r="C488" s="32" t="str">
        <f aca="false">"0860590"</f>
        <v>0860590</v>
      </c>
      <c r="D488" s="33" t="s">
        <v>376</v>
      </c>
      <c r="E488" s="32" t="n">
        <v>1966</v>
      </c>
      <c r="F488" s="34" t="n">
        <f aca="false">28519.08*1.2</f>
        <v>34222.896</v>
      </c>
      <c r="G488" s="35" t="n">
        <v>1</v>
      </c>
      <c r="H488" s="36" t="n">
        <v>1150</v>
      </c>
    </row>
    <row r="489" s="37" customFormat="true" ht="13.8" hidden="false" customHeight="false" outlineLevel="0" collapsed="false">
      <c r="A489" s="25" t="n">
        <v>545</v>
      </c>
      <c r="B489" s="32" t="s">
        <v>288</v>
      </c>
      <c r="C489" s="32" t="str">
        <f aca="false">"0860603"</f>
        <v>0860603</v>
      </c>
      <c r="D489" s="33" t="s">
        <v>377</v>
      </c>
      <c r="E489" s="32" t="n">
        <v>1966</v>
      </c>
      <c r="F489" s="34" t="n">
        <f aca="false">28519.08*1.2</f>
        <v>34222.896</v>
      </c>
      <c r="G489" s="35" t="n">
        <v>1</v>
      </c>
      <c r="H489" s="36" t="n">
        <v>1150</v>
      </c>
    </row>
    <row r="490" s="37" customFormat="true" ht="13.8" hidden="false" customHeight="false" outlineLevel="0" collapsed="false">
      <c r="A490" s="31" t="n">
        <v>546</v>
      </c>
      <c r="B490" s="32" t="s">
        <v>288</v>
      </c>
      <c r="C490" s="32" t="str">
        <f aca="false">"0860611"</f>
        <v>0860611</v>
      </c>
      <c r="D490" s="33" t="s">
        <v>378</v>
      </c>
      <c r="E490" s="32" t="n">
        <v>1966</v>
      </c>
      <c r="F490" s="34" t="n">
        <f aca="false">16495.3*1.2</f>
        <v>19794.36</v>
      </c>
      <c r="G490" s="35" t="n">
        <v>2</v>
      </c>
      <c r="H490" s="36" t="n">
        <v>1300</v>
      </c>
    </row>
    <row r="491" s="37" customFormat="true" ht="13.8" hidden="false" customHeight="false" outlineLevel="0" collapsed="false">
      <c r="A491" s="25" t="n">
        <v>547</v>
      </c>
      <c r="B491" s="32" t="s">
        <v>288</v>
      </c>
      <c r="C491" s="32" t="str">
        <f aca="false">"0872024"</f>
        <v>0872024</v>
      </c>
      <c r="D491" s="33" t="s">
        <v>379</v>
      </c>
      <c r="E491" s="32" t="n">
        <v>1987</v>
      </c>
      <c r="F491" s="34" t="n">
        <v>283.73</v>
      </c>
      <c r="G491" s="35" t="n">
        <v>1</v>
      </c>
      <c r="H491" s="36" t="n">
        <v>20</v>
      </c>
    </row>
    <row r="492" s="37" customFormat="true" ht="13.8" hidden="false" customHeight="false" outlineLevel="0" collapsed="false">
      <c r="A492" s="31" t="n">
        <v>548</v>
      </c>
      <c r="B492" s="32" t="s">
        <v>288</v>
      </c>
      <c r="C492" s="32" t="str">
        <f aca="false">"0860930"</f>
        <v>0860930</v>
      </c>
      <c r="D492" s="33" t="s">
        <v>380</v>
      </c>
      <c r="E492" s="32" t="n">
        <v>1986</v>
      </c>
      <c r="F492" s="34" t="n">
        <v>12463.52</v>
      </c>
      <c r="G492" s="35" t="n">
        <v>3</v>
      </c>
      <c r="H492" s="36" t="n">
        <v>1860</v>
      </c>
    </row>
    <row r="493" s="37" customFormat="true" ht="13.8" hidden="false" customHeight="false" outlineLevel="0" collapsed="false">
      <c r="A493" s="25" t="n">
        <v>549</v>
      </c>
      <c r="B493" s="32" t="s">
        <v>288</v>
      </c>
      <c r="C493" s="32" t="str">
        <f aca="false">"0861030"</f>
        <v>0861030</v>
      </c>
      <c r="D493" s="33" t="s">
        <v>381</v>
      </c>
      <c r="E493" s="32" t="n">
        <v>1981</v>
      </c>
      <c r="F493" s="34" t="n">
        <f aca="false">368008.18*1.2</f>
        <v>441609.816</v>
      </c>
      <c r="G493" s="35" t="n">
        <v>1</v>
      </c>
      <c r="H493" s="36" t="n">
        <v>20630</v>
      </c>
    </row>
    <row r="494" s="37" customFormat="true" ht="13.8" hidden="false" customHeight="false" outlineLevel="0" collapsed="false">
      <c r="A494" s="31" t="n">
        <v>550</v>
      </c>
      <c r="B494" s="32" t="s">
        <v>288</v>
      </c>
      <c r="C494" s="32" t="str">
        <f aca="false">"0861090"</f>
        <v>0861090</v>
      </c>
      <c r="D494" s="33" t="s">
        <v>382</v>
      </c>
      <c r="E494" s="32" t="n">
        <v>1989</v>
      </c>
      <c r="F494" s="34" t="n">
        <f aca="false">794.91</f>
        <v>794.91</v>
      </c>
      <c r="G494" s="35" t="n">
        <v>1</v>
      </c>
      <c r="H494" s="36" t="n">
        <v>100</v>
      </c>
    </row>
    <row r="495" s="37" customFormat="true" ht="13.8" hidden="false" customHeight="false" outlineLevel="0" collapsed="false">
      <c r="A495" s="25" t="n">
        <v>553</v>
      </c>
      <c r="B495" s="32" t="s">
        <v>288</v>
      </c>
      <c r="C495" s="32" t="str">
        <f aca="false">"0875708"</f>
        <v>0875708</v>
      </c>
      <c r="D495" s="33" t="s">
        <v>383</v>
      </c>
      <c r="E495" s="32" t="n">
        <v>2009</v>
      </c>
      <c r="F495" s="34" t="n">
        <v>6444</v>
      </c>
      <c r="G495" s="35" t="n">
        <v>1</v>
      </c>
      <c r="H495" s="36" t="n">
        <v>600</v>
      </c>
    </row>
    <row r="496" s="37" customFormat="true" ht="13.8" hidden="false" customHeight="false" outlineLevel="0" collapsed="false">
      <c r="A496" s="31" t="n">
        <v>554</v>
      </c>
      <c r="B496" s="32" t="s">
        <v>288</v>
      </c>
      <c r="C496" s="32" t="str">
        <f aca="false">"0876186"</f>
        <v>0876186</v>
      </c>
      <c r="D496" s="33" t="s">
        <v>384</v>
      </c>
      <c r="E496" s="32" t="n">
        <v>1957</v>
      </c>
      <c r="F496" s="34" t="n">
        <v>372.48</v>
      </c>
      <c r="G496" s="35" t="n">
        <v>1</v>
      </c>
      <c r="H496" s="36" t="n">
        <v>5</v>
      </c>
    </row>
    <row r="497" s="37" customFormat="true" ht="13.8" hidden="false" customHeight="false" outlineLevel="0" collapsed="false">
      <c r="A497" s="25" t="n">
        <v>555</v>
      </c>
      <c r="B497" s="32" t="s">
        <v>288</v>
      </c>
      <c r="C497" s="32" t="str">
        <f aca="false">"0876321"</f>
        <v>0876321</v>
      </c>
      <c r="D497" s="33" t="s">
        <v>385</v>
      </c>
      <c r="E497" s="32" t="n">
        <v>1946</v>
      </c>
      <c r="F497" s="34" t="n">
        <v>25.53</v>
      </c>
      <c r="G497" s="35" t="n">
        <v>1</v>
      </c>
      <c r="H497" s="38" t="s">
        <v>160</v>
      </c>
    </row>
    <row r="498" s="37" customFormat="true" ht="13.8" hidden="false" customHeight="false" outlineLevel="0" collapsed="false">
      <c r="A498" s="31" t="n">
        <v>556</v>
      </c>
      <c r="B498" s="32" t="s">
        <v>288</v>
      </c>
      <c r="C498" s="32" t="str">
        <f aca="false">"0876437"</f>
        <v>0876437</v>
      </c>
      <c r="D498" s="33" t="s">
        <v>119</v>
      </c>
      <c r="E498" s="32" t="n">
        <v>1960</v>
      </c>
      <c r="F498" s="34" t="n">
        <v>259.03</v>
      </c>
      <c r="G498" s="35" t="n">
        <v>1</v>
      </c>
      <c r="H498" s="36" t="n">
        <v>5</v>
      </c>
    </row>
    <row r="499" s="37" customFormat="true" ht="13.8" hidden="false" customHeight="false" outlineLevel="0" collapsed="false">
      <c r="A499" s="25" t="n">
        <v>557</v>
      </c>
      <c r="B499" s="32" t="s">
        <v>288</v>
      </c>
      <c r="C499" s="32" t="str">
        <f aca="false">"0876801"</f>
        <v>0876801</v>
      </c>
      <c r="D499" s="33" t="s">
        <v>42</v>
      </c>
      <c r="E499" s="32" t="n">
        <v>1968</v>
      </c>
      <c r="F499" s="34" t="n">
        <v>465.21</v>
      </c>
      <c r="G499" s="35" t="n">
        <v>1</v>
      </c>
      <c r="H499" s="36" t="n">
        <v>10</v>
      </c>
    </row>
    <row r="500" s="37" customFormat="true" ht="13.8" hidden="false" customHeight="false" outlineLevel="0" collapsed="false">
      <c r="A500" s="31" t="n">
        <v>558</v>
      </c>
      <c r="B500" s="32" t="s">
        <v>288</v>
      </c>
      <c r="C500" s="32" t="str">
        <f aca="false">"0874418"</f>
        <v>0874418</v>
      </c>
      <c r="D500" s="33" t="s">
        <v>386</v>
      </c>
      <c r="E500" s="32" t="n">
        <v>1976</v>
      </c>
      <c r="F500" s="34" t="n">
        <v>615.22</v>
      </c>
      <c r="G500" s="35" t="n">
        <v>1</v>
      </c>
      <c r="H500" s="36" t="n">
        <v>20</v>
      </c>
    </row>
    <row r="501" s="37" customFormat="true" ht="13.8" hidden="false" customHeight="false" outlineLevel="0" collapsed="false">
      <c r="A501" s="25" t="n">
        <v>559</v>
      </c>
      <c r="B501" s="32" t="s">
        <v>288</v>
      </c>
      <c r="C501" s="32" t="str">
        <f aca="false">"0874426"</f>
        <v>0874426</v>
      </c>
      <c r="D501" s="33" t="s">
        <v>387</v>
      </c>
      <c r="E501" s="32" t="n">
        <v>1983</v>
      </c>
      <c r="F501" s="34" t="n">
        <v>230.94</v>
      </c>
      <c r="G501" s="35" t="n">
        <v>1</v>
      </c>
      <c r="H501" s="36" t="n">
        <v>10</v>
      </c>
    </row>
    <row r="502" s="37" customFormat="true" ht="13.8" hidden="false" customHeight="false" outlineLevel="0" collapsed="false">
      <c r="A502" s="31" t="n">
        <v>560</v>
      </c>
      <c r="B502" s="32" t="s">
        <v>288</v>
      </c>
      <c r="C502" s="32" t="str">
        <f aca="false">"0874434"</f>
        <v>0874434</v>
      </c>
      <c r="D502" s="33" t="s">
        <v>325</v>
      </c>
      <c r="E502" s="32" t="n">
        <v>1983</v>
      </c>
      <c r="F502" s="34" t="n">
        <v>375.3</v>
      </c>
      <c r="G502" s="35" t="n">
        <v>1</v>
      </c>
      <c r="H502" s="36" t="n">
        <v>15</v>
      </c>
    </row>
    <row r="503" s="37" customFormat="true" ht="13.8" hidden="false" customHeight="false" outlineLevel="0" collapsed="false">
      <c r="A503" s="25" t="n">
        <v>561</v>
      </c>
      <c r="B503" s="32" t="s">
        <v>288</v>
      </c>
      <c r="C503" s="32" t="str">
        <f aca="false">"0874442"</f>
        <v>0874442</v>
      </c>
      <c r="D503" s="33" t="s">
        <v>388</v>
      </c>
      <c r="E503" s="32" t="n">
        <v>1983</v>
      </c>
      <c r="F503" s="34" t="n">
        <v>923.73</v>
      </c>
      <c r="G503" s="35" t="n">
        <v>1</v>
      </c>
      <c r="H503" s="36" t="n">
        <v>40</v>
      </c>
    </row>
    <row r="504" s="37" customFormat="true" ht="13.8" hidden="false" customHeight="false" outlineLevel="0" collapsed="false">
      <c r="A504" s="31" t="n">
        <v>562</v>
      </c>
      <c r="B504" s="32" t="s">
        <v>288</v>
      </c>
      <c r="C504" s="32" t="str">
        <f aca="false">"0874450"</f>
        <v>0874450</v>
      </c>
      <c r="D504" s="33" t="s">
        <v>384</v>
      </c>
      <c r="E504" s="32" t="n">
        <v>1983</v>
      </c>
      <c r="F504" s="34" t="n">
        <v>144.28</v>
      </c>
      <c r="G504" s="35" t="n">
        <v>1</v>
      </c>
      <c r="H504" s="36" t="n">
        <v>5</v>
      </c>
    </row>
    <row r="505" s="37" customFormat="true" ht="13.8" hidden="false" customHeight="false" outlineLevel="0" collapsed="false">
      <c r="A505" s="31" t="n">
        <v>566</v>
      </c>
      <c r="B505" s="32" t="s">
        <v>288</v>
      </c>
      <c r="C505" s="32" t="str">
        <f aca="false">"0921173"</f>
        <v>0921173</v>
      </c>
      <c r="D505" s="33" t="s">
        <v>389</v>
      </c>
      <c r="E505" s="32" t="n">
        <v>2017</v>
      </c>
      <c r="F505" s="34" t="n">
        <v>7525.44</v>
      </c>
      <c r="G505" s="35" t="n">
        <v>2</v>
      </c>
      <c r="H505" s="36" t="n">
        <v>8500</v>
      </c>
    </row>
    <row r="506" s="37" customFormat="true" ht="13.8" hidden="false" customHeight="false" outlineLevel="0" collapsed="false">
      <c r="A506" s="31" t="n">
        <v>570</v>
      </c>
      <c r="B506" s="32" t="s">
        <v>288</v>
      </c>
      <c r="C506" s="32" t="s">
        <v>25</v>
      </c>
      <c r="D506" s="33" t="s">
        <v>390</v>
      </c>
      <c r="E506" s="32" t="n">
        <v>2018</v>
      </c>
      <c r="F506" s="34" t="n">
        <v>420</v>
      </c>
      <c r="G506" s="35" t="n">
        <v>6</v>
      </c>
      <c r="H506" s="36" t="n">
        <v>1620</v>
      </c>
    </row>
    <row r="507" s="37" customFormat="true" ht="13.8" hidden="false" customHeight="false" outlineLevel="0" collapsed="false">
      <c r="A507" s="25" t="n">
        <v>571</v>
      </c>
      <c r="B507" s="32" t="s">
        <v>288</v>
      </c>
      <c r="C507" s="32" t="s">
        <v>25</v>
      </c>
      <c r="D507" s="33" t="s">
        <v>391</v>
      </c>
      <c r="E507" s="32" t="n">
        <v>2013</v>
      </c>
      <c r="F507" s="34" t="n">
        <v>1200</v>
      </c>
      <c r="G507" s="35" t="n">
        <v>1</v>
      </c>
      <c r="H507" s="36" t="n">
        <v>280</v>
      </c>
    </row>
    <row r="508" s="37" customFormat="true" ht="13.8" hidden="false" customHeight="false" outlineLevel="0" collapsed="false">
      <c r="A508" s="31" t="n">
        <v>572</v>
      </c>
      <c r="B508" s="32" t="s">
        <v>288</v>
      </c>
      <c r="C508" s="32" t="s">
        <v>25</v>
      </c>
      <c r="D508" s="33" t="s">
        <v>392</v>
      </c>
      <c r="E508" s="32" t="n">
        <v>2013</v>
      </c>
      <c r="F508" s="34" t="n">
        <v>1500</v>
      </c>
      <c r="G508" s="35" t="n">
        <v>1</v>
      </c>
      <c r="H508" s="36" t="n">
        <v>340</v>
      </c>
    </row>
    <row r="509" s="37" customFormat="true" ht="13.8" hidden="false" customHeight="false" outlineLevel="0" collapsed="false">
      <c r="A509" s="25" t="n">
        <v>573</v>
      </c>
      <c r="B509" s="32" t="s">
        <v>288</v>
      </c>
      <c r="C509" s="32" t="s">
        <v>25</v>
      </c>
      <c r="D509" s="33" t="s">
        <v>393</v>
      </c>
      <c r="E509" s="32" t="n">
        <v>2013</v>
      </c>
      <c r="F509" s="34" t="n">
        <v>2800</v>
      </c>
      <c r="G509" s="35" t="n">
        <v>1</v>
      </c>
      <c r="H509" s="36" t="n">
        <v>650</v>
      </c>
    </row>
    <row r="510" s="37" customFormat="true" ht="13.8" hidden="false" customHeight="false" outlineLevel="0" collapsed="false">
      <c r="A510" s="31" t="n">
        <v>574</v>
      </c>
      <c r="B510" s="32" t="s">
        <v>288</v>
      </c>
      <c r="C510" s="32" t="s">
        <v>25</v>
      </c>
      <c r="D510" s="33" t="s">
        <v>394</v>
      </c>
      <c r="E510" s="32" t="n">
        <v>2013</v>
      </c>
      <c r="F510" s="34" t="n">
        <v>24850</v>
      </c>
      <c r="G510" s="35" t="n">
        <v>1</v>
      </c>
      <c r="H510" s="36" t="n">
        <v>5600</v>
      </c>
    </row>
    <row r="511" s="37" customFormat="true" ht="13.8" hidden="false" customHeight="false" outlineLevel="0" collapsed="false">
      <c r="A511" s="25" t="n">
        <v>575</v>
      </c>
      <c r="B511" s="32" t="s">
        <v>288</v>
      </c>
      <c r="C511" s="32" t="s">
        <v>25</v>
      </c>
      <c r="D511" s="33" t="s">
        <v>395</v>
      </c>
      <c r="E511" s="32" t="n">
        <v>2013</v>
      </c>
      <c r="F511" s="34" t="n">
        <f aca="false">5200+7600</f>
        <v>12800</v>
      </c>
      <c r="G511" s="35" t="n">
        <v>1</v>
      </c>
      <c r="H511" s="36" t="n">
        <v>2900</v>
      </c>
    </row>
    <row r="512" s="37" customFormat="true" ht="13.8" hidden="false" customHeight="false" outlineLevel="0" collapsed="false">
      <c r="A512" s="25" t="n">
        <v>577</v>
      </c>
      <c r="B512" s="32" t="s">
        <v>288</v>
      </c>
      <c r="C512" s="32" t="s">
        <v>25</v>
      </c>
      <c r="D512" s="33" t="s">
        <v>28</v>
      </c>
      <c r="E512" s="32" t="n">
        <v>2008</v>
      </c>
      <c r="F512" s="34" t="n">
        <v>4160</v>
      </c>
      <c r="G512" s="35" t="n">
        <v>3</v>
      </c>
      <c r="H512" s="36" t="n">
        <v>840</v>
      </c>
    </row>
    <row r="513" s="37" customFormat="true" ht="13.8" hidden="false" customHeight="false" outlineLevel="0" collapsed="false">
      <c r="A513" s="31" t="n">
        <v>578</v>
      </c>
      <c r="B513" s="32" t="s">
        <v>396</v>
      </c>
      <c r="C513" s="32" t="str">
        <f aca="false">"0861561"</f>
        <v>0861561</v>
      </c>
      <c r="D513" s="33" t="s">
        <v>397</v>
      </c>
      <c r="E513" s="32" t="n">
        <v>1977</v>
      </c>
      <c r="F513" s="34" t="n">
        <v>3614.74</v>
      </c>
      <c r="G513" s="35" t="n">
        <v>8</v>
      </c>
      <c r="H513" s="36" t="n">
        <v>1440</v>
      </c>
    </row>
    <row r="514" s="37" customFormat="true" ht="13.8" hidden="false" customHeight="false" outlineLevel="0" collapsed="false">
      <c r="A514" s="25" t="n">
        <v>579</v>
      </c>
      <c r="B514" s="32" t="s">
        <v>396</v>
      </c>
      <c r="C514" s="32" t="str">
        <f aca="false">"0861626"</f>
        <v>0861626</v>
      </c>
      <c r="D514" s="33" t="s">
        <v>398</v>
      </c>
      <c r="E514" s="32" t="n">
        <v>1977</v>
      </c>
      <c r="F514" s="34" t="n">
        <v>12049.1</v>
      </c>
      <c r="G514" s="35" t="n">
        <v>2</v>
      </c>
      <c r="H514" s="36" t="n">
        <v>1000</v>
      </c>
    </row>
    <row r="515" s="37" customFormat="true" ht="13.8" hidden="false" customHeight="false" outlineLevel="0" collapsed="false">
      <c r="A515" s="31" t="n">
        <v>580</v>
      </c>
      <c r="B515" s="32" t="s">
        <v>396</v>
      </c>
      <c r="C515" s="32" t="str">
        <f aca="false">"0861642"</f>
        <v>0861642</v>
      </c>
      <c r="D515" s="33" t="s">
        <v>398</v>
      </c>
      <c r="E515" s="32" t="n">
        <v>1977</v>
      </c>
      <c r="F515" s="34" t="n">
        <v>4337.73</v>
      </c>
      <c r="G515" s="35" t="n">
        <v>1</v>
      </c>
      <c r="H515" s="36" t="n">
        <v>180</v>
      </c>
    </row>
    <row r="516" s="37" customFormat="true" ht="13.8" hidden="false" customHeight="false" outlineLevel="0" collapsed="false">
      <c r="A516" s="25" t="n">
        <v>581</v>
      </c>
      <c r="B516" s="32" t="s">
        <v>396</v>
      </c>
      <c r="C516" s="32" t="str">
        <f aca="false">"0861650"</f>
        <v>0861650</v>
      </c>
      <c r="D516" s="33" t="s">
        <v>399</v>
      </c>
      <c r="E516" s="32" t="n">
        <v>1977</v>
      </c>
      <c r="F516" s="34" t="n">
        <v>1566.35</v>
      </c>
      <c r="G516" s="35" t="n">
        <v>2</v>
      </c>
      <c r="H516" s="36" t="n">
        <v>120</v>
      </c>
    </row>
    <row r="517" s="37" customFormat="true" ht="13.8" hidden="false" customHeight="false" outlineLevel="0" collapsed="false">
      <c r="A517" s="31" t="n">
        <v>582</v>
      </c>
      <c r="B517" s="32" t="s">
        <v>396</v>
      </c>
      <c r="C517" s="32" t="str">
        <f aca="false">"0861677"</f>
        <v>0861677</v>
      </c>
      <c r="D517" s="33" t="s">
        <v>399</v>
      </c>
      <c r="E517" s="32" t="n">
        <v>1977</v>
      </c>
      <c r="F517" s="34" t="n">
        <v>15473.53</v>
      </c>
      <c r="G517" s="35" t="n">
        <v>1</v>
      </c>
      <c r="H517" s="36" t="n">
        <v>640</v>
      </c>
    </row>
    <row r="518" s="37" customFormat="true" ht="13.8" hidden="false" customHeight="false" outlineLevel="0" collapsed="false">
      <c r="A518" s="25" t="n">
        <v>583</v>
      </c>
      <c r="B518" s="32" t="s">
        <v>396</v>
      </c>
      <c r="C518" s="32" t="str">
        <f aca="false">"0861685"</f>
        <v>0861685</v>
      </c>
      <c r="D518" s="33" t="s">
        <v>399</v>
      </c>
      <c r="E518" s="32" t="n">
        <v>1977</v>
      </c>
      <c r="F518" s="34" t="n">
        <v>2457.98</v>
      </c>
      <c r="G518" s="35" t="n">
        <v>2</v>
      </c>
      <c r="H518" s="36" t="n">
        <v>200</v>
      </c>
    </row>
    <row r="519" s="37" customFormat="true" ht="13.8" hidden="false" customHeight="false" outlineLevel="0" collapsed="false">
      <c r="A519" s="31" t="n">
        <v>584</v>
      </c>
      <c r="B519" s="32" t="s">
        <v>396</v>
      </c>
      <c r="C519" s="32" t="str">
        <f aca="false">"0861707"</f>
        <v>0861707</v>
      </c>
      <c r="D519" s="33" t="s">
        <v>400</v>
      </c>
      <c r="E519" s="32" t="n">
        <v>1977</v>
      </c>
      <c r="F519" s="34" t="n">
        <v>20371.69</v>
      </c>
      <c r="G519" s="35" t="n">
        <v>2</v>
      </c>
      <c r="H519" s="36" t="n">
        <v>1640</v>
      </c>
    </row>
    <row r="520" s="37" customFormat="true" ht="13.8" hidden="false" customHeight="false" outlineLevel="0" collapsed="false">
      <c r="A520" s="25" t="n">
        <v>585</v>
      </c>
      <c r="B520" s="32" t="s">
        <v>396</v>
      </c>
      <c r="C520" s="32" t="str">
        <f aca="false">"0861723"</f>
        <v>0861723</v>
      </c>
      <c r="D520" s="33" t="s">
        <v>401</v>
      </c>
      <c r="E520" s="32" t="n">
        <v>1977</v>
      </c>
      <c r="F520" s="34" t="n">
        <v>6478.03</v>
      </c>
      <c r="G520" s="35" t="n">
        <v>1</v>
      </c>
      <c r="H520" s="36" t="n">
        <v>270</v>
      </c>
    </row>
    <row r="521" s="37" customFormat="true" ht="13.8" hidden="false" customHeight="false" outlineLevel="0" collapsed="false">
      <c r="A521" s="31" t="n">
        <v>586</v>
      </c>
      <c r="B521" s="32" t="s">
        <v>396</v>
      </c>
      <c r="C521" s="32" t="str">
        <f aca="false">"0861731"</f>
        <v>0861731</v>
      </c>
      <c r="D521" s="33" t="s">
        <v>402</v>
      </c>
      <c r="E521" s="32" t="n">
        <v>1977</v>
      </c>
      <c r="F521" s="34" t="n">
        <v>10589.16</v>
      </c>
      <c r="G521" s="35" t="n">
        <v>1</v>
      </c>
      <c r="H521" s="36" t="n">
        <v>440</v>
      </c>
    </row>
    <row r="522" s="37" customFormat="true" ht="13.8" hidden="false" customHeight="false" outlineLevel="0" collapsed="false">
      <c r="A522" s="25" t="n">
        <v>587</v>
      </c>
      <c r="B522" s="32" t="s">
        <v>396</v>
      </c>
      <c r="C522" s="32" t="str">
        <f aca="false">"0861758"</f>
        <v>0861758</v>
      </c>
      <c r="D522" s="33" t="s">
        <v>403</v>
      </c>
      <c r="E522" s="32" t="n">
        <v>1977</v>
      </c>
      <c r="F522" s="34" t="n">
        <v>3119.16</v>
      </c>
      <c r="G522" s="35" t="n">
        <v>3</v>
      </c>
      <c r="H522" s="36" t="n">
        <v>420</v>
      </c>
    </row>
    <row r="523" s="37" customFormat="true" ht="13.8" hidden="false" customHeight="false" outlineLevel="0" collapsed="false">
      <c r="A523" s="31" t="n">
        <v>588</v>
      </c>
      <c r="B523" s="32" t="s">
        <v>396</v>
      </c>
      <c r="C523" s="32" t="str">
        <f aca="false">"0861782"</f>
        <v>0861782</v>
      </c>
      <c r="D523" s="33" t="s">
        <v>404</v>
      </c>
      <c r="E523" s="32" t="n">
        <v>1977</v>
      </c>
      <c r="F523" s="34" t="n">
        <v>31861.73</v>
      </c>
      <c r="G523" s="35" t="n">
        <v>1</v>
      </c>
      <c r="H523" s="36" t="n">
        <v>1230</v>
      </c>
    </row>
    <row r="524" s="37" customFormat="true" ht="13.8" hidden="false" customHeight="false" outlineLevel="0" collapsed="false">
      <c r="A524" s="31" t="n">
        <v>590</v>
      </c>
      <c r="B524" s="32" t="s">
        <v>396</v>
      </c>
      <c r="C524" s="32" t="str">
        <f aca="false">"0861839"</f>
        <v>0861839</v>
      </c>
      <c r="D524" s="33" t="s">
        <v>405</v>
      </c>
      <c r="E524" s="32" t="n">
        <v>1977</v>
      </c>
      <c r="F524" s="34" t="n">
        <v>6866.64</v>
      </c>
      <c r="G524" s="35" t="n">
        <v>1</v>
      </c>
      <c r="H524" s="36" t="n">
        <v>280</v>
      </c>
    </row>
    <row r="525" s="37" customFormat="true" ht="13.8" hidden="false" customHeight="false" outlineLevel="0" collapsed="false">
      <c r="A525" s="31" t="n">
        <v>592</v>
      </c>
      <c r="B525" s="32" t="s">
        <v>396</v>
      </c>
      <c r="C525" s="32" t="str">
        <f aca="false">"0855316"</f>
        <v>0855316</v>
      </c>
      <c r="D525" s="33" t="s">
        <v>406</v>
      </c>
      <c r="E525" s="32" t="n">
        <v>1986</v>
      </c>
      <c r="F525" s="34" t="n">
        <f aca="false">47021.99*1.2</f>
        <v>56426.388</v>
      </c>
      <c r="G525" s="35" t="n">
        <v>1</v>
      </c>
      <c r="H525" s="36" t="n">
        <v>2750</v>
      </c>
    </row>
    <row r="526" s="37" customFormat="true" ht="13.8" hidden="false" customHeight="false" outlineLevel="0" collapsed="false">
      <c r="A526" s="25" t="n">
        <v>593</v>
      </c>
      <c r="B526" s="32" t="s">
        <v>396</v>
      </c>
      <c r="C526" s="32" t="str">
        <f aca="false">"0855340"</f>
        <v>0855340</v>
      </c>
      <c r="D526" s="33" t="s">
        <v>407</v>
      </c>
      <c r="E526" s="32" t="n">
        <v>2005</v>
      </c>
      <c r="F526" s="34" t="n">
        <v>96238.5</v>
      </c>
      <c r="G526" s="35" t="n">
        <v>1</v>
      </c>
      <c r="H526" s="36" t="n">
        <v>9000</v>
      </c>
    </row>
    <row r="527" s="37" customFormat="true" ht="13.8" hidden="false" customHeight="false" outlineLevel="0" collapsed="false">
      <c r="A527" s="31" t="n">
        <v>596</v>
      </c>
      <c r="B527" s="32" t="s">
        <v>396</v>
      </c>
      <c r="C527" s="32" t="str">
        <f aca="false">"0855413"</f>
        <v>0855413</v>
      </c>
      <c r="D527" s="33" t="s">
        <v>408</v>
      </c>
      <c r="E527" s="32" t="n">
        <v>1958</v>
      </c>
      <c r="F527" s="34" t="n">
        <f aca="false">248281.91*1.2</f>
        <v>297938.292</v>
      </c>
      <c r="G527" s="35" t="n">
        <v>1</v>
      </c>
      <c r="H527" s="36" t="n">
        <v>6500</v>
      </c>
    </row>
    <row r="528" s="37" customFormat="true" ht="13.8" hidden="false" customHeight="false" outlineLevel="0" collapsed="false">
      <c r="A528" s="25" t="n">
        <v>597</v>
      </c>
      <c r="B528" s="32" t="s">
        <v>396</v>
      </c>
      <c r="C528" s="32" t="str">
        <f aca="false">"0861995"</f>
        <v>0861995</v>
      </c>
      <c r="D528" s="33" t="s">
        <v>409</v>
      </c>
      <c r="E528" s="32" t="n">
        <v>1984</v>
      </c>
      <c r="F528" s="34" t="n">
        <f aca="false">6507.29</f>
        <v>6507.29</v>
      </c>
      <c r="G528" s="35" t="n">
        <v>2</v>
      </c>
      <c r="H528" s="36" t="n">
        <v>600</v>
      </c>
    </row>
    <row r="529" s="37" customFormat="true" ht="13.8" hidden="false" customHeight="false" outlineLevel="0" collapsed="false">
      <c r="A529" s="25" t="n">
        <v>601</v>
      </c>
      <c r="B529" s="32" t="s">
        <v>396</v>
      </c>
      <c r="C529" s="32" t="str">
        <f aca="false">"0862142"</f>
        <v>0862142</v>
      </c>
      <c r="D529" s="33" t="s">
        <v>410</v>
      </c>
      <c r="E529" s="32" t="n">
        <v>1986</v>
      </c>
      <c r="F529" s="34" t="n">
        <f aca="false">840.58</f>
        <v>840.58</v>
      </c>
      <c r="G529" s="35" t="n">
        <v>2</v>
      </c>
      <c r="H529" s="36" t="n">
        <v>80</v>
      </c>
    </row>
    <row r="530" s="37" customFormat="true" ht="13.8" hidden="false" customHeight="false" outlineLevel="0" collapsed="false">
      <c r="A530" s="31" t="n">
        <v>602</v>
      </c>
      <c r="B530" s="32" t="s">
        <v>396</v>
      </c>
      <c r="C530" s="32" t="str">
        <f aca="false">"0862223"</f>
        <v>0862223</v>
      </c>
      <c r="D530" s="33" t="s">
        <v>411</v>
      </c>
      <c r="E530" s="32" t="n">
        <v>1986</v>
      </c>
      <c r="F530" s="34" t="n">
        <f aca="false">2449.56</f>
        <v>2449.56</v>
      </c>
      <c r="G530" s="35" t="n">
        <v>1</v>
      </c>
      <c r="H530" s="36" t="n">
        <v>120</v>
      </c>
    </row>
    <row r="531" s="37" customFormat="true" ht="13.8" hidden="false" customHeight="false" outlineLevel="0" collapsed="false">
      <c r="A531" s="25" t="n">
        <v>603</v>
      </c>
      <c r="B531" s="32" t="s">
        <v>396</v>
      </c>
      <c r="C531" s="32" t="str">
        <f aca="false">"0862231"</f>
        <v>0862231</v>
      </c>
      <c r="D531" s="33" t="s">
        <v>412</v>
      </c>
      <c r="E531" s="32" t="n">
        <v>1986</v>
      </c>
      <c r="F531" s="34" t="n">
        <f aca="false">2449.56</f>
        <v>2449.56</v>
      </c>
      <c r="G531" s="35" t="n">
        <v>1</v>
      </c>
      <c r="H531" s="36" t="n">
        <v>120</v>
      </c>
    </row>
    <row r="532" s="37" customFormat="true" ht="13.8" hidden="false" customHeight="false" outlineLevel="0" collapsed="false">
      <c r="A532" s="25" t="n">
        <v>605</v>
      </c>
      <c r="B532" s="32" t="s">
        <v>396</v>
      </c>
      <c r="C532" s="32" t="str">
        <f aca="false">"0855456"</f>
        <v>0855456</v>
      </c>
      <c r="D532" s="33" t="s">
        <v>413</v>
      </c>
      <c r="E532" s="32" t="n">
        <v>1959</v>
      </c>
      <c r="F532" s="34" t="n">
        <f aca="false">375330*1.2</f>
        <v>450396</v>
      </c>
      <c r="G532" s="35" t="n">
        <v>1</v>
      </c>
      <c r="H532" s="36" t="n">
        <v>10250</v>
      </c>
    </row>
    <row r="533" s="37" customFormat="true" ht="13.8" hidden="false" customHeight="false" outlineLevel="0" collapsed="false">
      <c r="A533" s="31" t="n">
        <v>606</v>
      </c>
      <c r="B533" s="32" t="s">
        <v>396</v>
      </c>
      <c r="C533" s="32" t="str">
        <f aca="false">"0855464"</f>
        <v>0855464</v>
      </c>
      <c r="D533" s="33" t="s">
        <v>414</v>
      </c>
      <c r="E533" s="32" t="n">
        <v>1959</v>
      </c>
      <c r="F533" s="34" t="n">
        <f aca="false">438033.56*1.2</f>
        <v>525640.272</v>
      </c>
      <c r="G533" s="35" t="n">
        <v>1</v>
      </c>
      <c r="H533" s="36" t="n">
        <v>12000</v>
      </c>
    </row>
    <row r="534" s="37" customFormat="true" ht="13.8" hidden="false" customHeight="false" outlineLevel="0" collapsed="false">
      <c r="A534" s="25" t="n">
        <v>607</v>
      </c>
      <c r="B534" s="32" t="s">
        <v>396</v>
      </c>
      <c r="C534" s="32" t="str">
        <f aca="false">"0855472"</f>
        <v>0855472</v>
      </c>
      <c r="D534" s="33" t="s">
        <v>415</v>
      </c>
      <c r="E534" s="32" t="n">
        <v>1958</v>
      </c>
      <c r="F534" s="34" t="n">
        <f aca="false">3139.58*1.2</f>
        <v>3767.496</v>
      </c>
      <c r="G534" s="35" t="n">
        <v>1</v>
      </c>
      <c r="H534" s="36" t="n">
        <v>75</v>
      </c>
    </row>
    <row r="535" s="37" customFormat="true" ht="13.8" hidden="false" customHeight="false" outlineLevel="0" collapsed="false">
      <c r="A535" s="25" t="n">
        <v>609</v>
      </c>
      <c r="B535" s="32" t="s">
        <v>396</v>
      </c>
      <c r="C535" s="32" t="str">
        <f aca="false">"0855499"</f>
        <v>0855499</v>
      </c>
      <c r="D535" s="33" t="s">
        <v>416</v>
      </c>
      <c r="E535" s="32" t="n">
        <v>1959</v>
      </c>
      <c r="F535" s="34" t="n">
        <f aca="false">6004814.9*1.3</f>
        <v>7806259.37</v>
      </c>
      <c r="G535" s="35" t="n">
        <v>1</v>
      </c>
      <c r="H535" s="36" t="n">
        <v>177360</v>
      </c>
    </row>
    <row r="536" s="37" customFormat="true" ht="13.8" hidden="false" customHeight="false" outlineLevel="0" collapsed="false">
      <c r="A536" s="25" t="n">
        <v>611</v>
      </c>
      <c r="B536" s="32" t="s">
        <v>396</v>
      </c>
      <c r="C536" s="32" t="str">
        <f aca="false">"0855510"</f>
        <v>0855510</v>
      </c>
      <c r="D536" s="33" t="s">
        <v>417</v>
      </c>
      <c r="E536" s="32" t="n">
        <v>1960</v>
      </c>
      <c r="F536" s="34" t="n">
        <f aca="false">4716503.79*1.3</f>
        <v>6131454.927</v>
      </c>
      <c r="G536" s="35" t="n">
        <v>1</v>
      </c>
      <c r="H536" s="36" t="n">
        <v>145200</v>
      </c>
    </row>
    <row r="537" s="37" customFormat="true" ht="13.8" hidden="false" customHeight="false" outlineLevel="0" collapsed="false">
      <c r="A537" s="31" t="n">
        <v>612</v>
      </c>
      <c r="B537" s="32" t="s">
        <v>396</v>
      </c>
      <c r="C537" s="32" t="str">
        <f aca="false">"0855529"</f>
        <v>0855529</v>
      </c>
      <c r="D537" s="33" t="s">
        <v>418</v>
      </c>
      <c r="E537" s="32" t="n">
        <v>1951</v>
      </c>
      <c r="F537" s="34" t="n">
        <f aca="false">937598.97*1.4</f>
        <v>1312638.558</v>
      </c>
      <c r="G537" s="35" t="n">
        <v>1</v>
      </c>
      <c r="H537" s="36" t="n">
        <v>30250</v>
      </c>
    </row>
    <row r="538" s="37" customFormat="true" ht="13.8" hidden="false" customHeight="false" outlineLevel="0" collapsed="false">
      <c r="A538" s="25" t="n">
        <v>613</v>
      </c>
      <c r="B538" s="32" t="s">
        <v>396</v>
      </c>
      <c r="C538" s="32" t="str">
        <f aca="false">"0855545"</f>
        <v>0855545</v>
      </c>
      <c r="D538" s="33" t="s">
        <v>419</v>
      </c>
      <c r="E538" s="32" t="n">
        <v>1960</v>
      </c>
      <c r="F538" s="34" t="n">
        <f aca="false">33403.51*1.3</f>
        <v>43424.563</v>
      </c>
      <c r="G538" s="35" t="n">
        <v>3</v>
      </c>
      <c r="H538" s="36" t="n">
        <v>2850</v>
      </c>
    </row>
    <row r="539" s="37" customFormat="true" ht="13.8" hidden="false" customHeight="false" outlineLevel="0" collapsed="false">
      <c r="A539" s="31" t="n">
        <v>614</v>
      </c>
      <c r="B539" s="32" t="s">
        <v>396</v>
      </c>
      <c r="C539" s="32" t="str">
        <f aca="false">"0855570"</f>
        <v>0855570</v>
      </c>
      <c r="D539" s="33" t="s">
        <v>420</v>
      </c>
      <c r="E539" s="32" t="n">
        <v>1960</v>
      </c>
      <c r="F539" s="34" t="n">
        <f aca="false">10927790.67*1.3</f>
        <v>14206127.871</v>
      </c>
      <c r="G539" s="35" t="n">
        <v>1</v>
      </c>
      <c r="H539" s="36" t="n">
        <v>336400</v>
      </c>
    </row>
    <row r="540" s="37" customFormat="true" ht="13.8" hidden="false" customHeight="false" outlineLevel="0" collapsed="false">
      <c r="A540" s="25" t="n">
        <v>615</v>
      </c>
      <c r="B540" s="32" t="s">
        <v>396</v>
      </c>
      <c r="C540" s="32" t="str">
        <f aca="false">"0855588"</f>
        <v>0855588</v>
      </c>
      <c r="D540" s="33" t="s">
        <v>421</v>
      </c>
      <c r="E540" s="32" t="n">
        <v>1960</v>
      </c>
      <c r="F540" s="34" t="n">
        <f aca="false">50551.16*1.3</f>
        <v>65716.508</v>
      </c>
      <c r="G540" s="35" t="n">
        <v>1</v>
      </c>
      <c r="H540" s="36" t="n">
        <v>1430</v>
      </c>
    </row>
    <row r="541" s="37" customFormat="true" ht="13.8" hidden="false" customHeight="false" outlineLevel="0" collapsed="false">
      <c r="A541" s="31" t="n">
        <v>616</v>
      </c>
      <c r="B541" s="32" t="s">
        <v>396</v>
      </c>
      <c r="C541" s="32" t="str">
        <f aca="false">"0855596"</f>
        <v>0855596</v>
      </c>
      <c r="D541" s="33" t="s">
        <v>422</v>
      </c>
      <c r="E541" s="32" t="n">
        <v>1960</v>
      </c>
      <c r="F541" s="34" t="n">
        <f aca="false">16549.67*1.3</f>
        <v>21514.571</v>
      </c>
      <c r="G541" s="35" t="n">
        <v>1</v>
      </c>
      <c r="H541" s="36" t="n">
        <v>470</v>
      </c>
    </row>
    <row r="542" s="37" customFormat="true" ht="13.8" hidden="false" customHeight="false" outlineLevel="0" collapsed="false">
      <c r="A542" s="25" t="n">
        <v>617</v>
      </c>
      <c r="B542" s="32" t="s">
        <v>396</v>
      </c>
      <c r="C542" s="32" t="str">
        <f aca="false">"0855600"</f>
        <v>0855600</v>
      </c>
      <c r="D542" s="33" t="s">
        <v>423</v>
      </c>
      <c r="E542" s="32" t="n">
        <v>1960</v>
      </c>
      <c r="F542" s="34" t="n">
        <f aca="false">19564.92*1.3</f>
        <v>25434.396</v>
      </c>
      <c r="G542" s="35" t="n">
        <v>1</v>
      </c>
      <c r="H542" s="36" t="n">
        <v>550</v>
      </c>
    </row>
    <row r="543" s="37" customFormat="true" ht="13.8" hidden="false" customHeight="false" outlineLevel="0" collapsed="false">
      <c r="A543" s="31" t="n">
        <v>618</v>
      </c>
      <c r="B543" s="32" t="s">
        <v>396</v>
      </c>
      <c r="C543" s="32" t="str">
        <f aca="false">"0855626"</f>
        <v>0855626</v>
      </c>
      <c r="D543" s="33" t="s">
        <v>424</v>
      </c>
      <c r="E543" s="32" t="n">
        <v>1960</v>
      </c>
      <c r="F543" s="34" t="n">
        <f aca="false">16550.78*1.3</f>
        <v>21516.014</v>
      </c>
      <c r="G543" s="35" t="n">
        <v>1</v>
      </c>
      <c r="H543" s="36" t="n">
        <v>470</v>
      </c>
    </row>
    <row r="544" s="37" customFormat="true" ht="13.8" hidden="false" customHeight="false" outlineLevel="0" collapsed="false">
      <c r="A544" s="25" t="n">
        <v>619</v>
      </c>
      <c r="B544" s="32" t="s">
        <v>396</v>
      </c>
      <c r="C544" s="32" t="str">
        <f aca="false">"0855634"</f>
        <v>0855634</v>
      </c>
      <c r="D544" s="33" t="s">
        <v>425</v>
      </c>
      <c r="E544" s="32" t="n">
        <v>1960</v>
      </c>
      <c r="F544" s="34" t="n">
        <f aca="false">10721.92*1.3</f>
        <v>13938.496</v>
      </c>
      <c r="G544" s="35" t="n">
        <v>1</v>
      </c>
      <c r="H544" s="36" t="n">
        <v>300</v>
      </c>
    </row>
    <row r="545" s="37" customFormat="true" ht="13.8" hidden="false" customHeight="false" outlineLevel="0" collapsed="false">
      <c r="A545" s="31" t="n">
        <v>620</v>
      </c>
      <c r="B545" s="32" t="s">
        <v>396</v>
      </c>
      <c r="C545" s="32" t="str">
        <f aca="false">"0855642"</f>
        <v>0855642</v>
      </c>
      <c r="D545" s="33" t="s">
        <v>426</v>
      </c>
      <c r="E545" s="32" t="n">
        <v>1960</v>
      </c>
      <c r="F545" s="34" t="n">
        <f aca="false">55322.09*1.3</f>
        <v>71918.717</v>
      </c>
      <c r="G545" s="35" t="n">
        <v>1</v>
      </c>
      <c r="H545" s="36" t="n">
        <v>1700</v>
      </c>
    </row>
    <row r="546" s="37" customFormat="true" ht="13.8" hidden="false" customHeight="false" outlineLevel="0" collapsed="false">
      <c r="A546" s="25" t="n">
        <v>621</v>
      </c>
      <c r="B546" s="32" t="s">
        <v>396</v>
      </c>
      <c r="C546" s="32" t="str">
        <f aca="false">"0855693"</f>
        <v>0855693</v>
      </c>
      <c r="D546" s="33" t="s">
        <v>427</v>
      </c>
      <c r="E546" s="32" t="n">
        <v>1962</v>
      </c>
      <c r="F546" s="34" t="n">
        <f aca="false">701260.87*1.25</f>
        <v>876576.0875</v>
      </c>
      <c r="G546" s="35" t="n">
        <v>1</v>
      </c>
      <c r="H546" s="36" t="n">
        <v>22440</v>
      </c>
    </row>
    <row r="547" s="37" customFormat="true" ht="13.8" hidden="false" customHeight="false" outlineLevel="0" collapsed="false">
      <c r="A547" s="31" t="n">
        <v>622</v>
      </c>
      <c r="B547" s="32" t="s">
        <v>396</v>
      </c>
      <c r="C547" s="32" t="str">
        <f aca="false">"0855740"</f>
        <v>0855740</v>
      </c>
      <c r="D547" s="33" t="s">
        <v>428</v>
      </c>
      <c r="E547" s="32" t="n">
        <v>1943</v>
      </c>
      <c r="F547" s="34" t="n">
        <f aca="false">14423.87*1.4</f>
        <v>20193.418</v>
      </c>
      <c r="G547" s="35" t="n">
        <v>1</v>
      </c>
      <c r="H547" s="36" t="n">
        <v>150</v>
      </c>
    </row>
    <row r="548" s="37" customFormat="true" ht="13.8" hidden="false" customHeight="false" outlineLevel="0" collapsed="false">
      <c r="A548" s="25" t="n">
        <v>623</v>
      </c>
      <c r="B548" s="32" t="s">
        <v>396</v>
      </c>
      <c r="C548" s="32" t="str">
        <f aca="false">"0855758"</f>
        <v>0855758</v>
      </c>
      <c r="D548" s="33" t="s">
        <v>428</v>
      </c>
      <c r="E548" s="32" t="n">
        <v>1943</v>
      </c>
      <c r="F548" s="34" t="n">
        <f aca="false">4389.9*1.4</f>
        <v>6145.86</v>
      </c>
      <c r="G548" s="35" t="n">
        <v>1</v>
      </c>
      <c r="H548" s="36" t="n">
        <v>50</v>
      </c>
    </row>
    <row r="549" s="37" customFormat="true" ht="13.8" hidden="false" customHeight="false" outlineLevel="0" collapsed="false">
      <c r="A549" s="31" t="n">
        <v>624</v>
      </c>
      <c r="B549" s="32" t="s">
        <v>396</v>
      </c>
      <c r="C549" s="32" t="str">
        <f aca="false">"0855820"</f>
        <v>0855820</v>
      </c>
      <c r="D549" s="33" t="s">
        <v>429</v>
      </c>
      <c r="E549" s="32" t="n">
        <v>1966</v>
      </c>
      <c r="F549" s="34" t="n">
        <f aca="false">573785.83*1.2</f>
        <v>688542.996</v>
      </c>
      <c r="G549" s="35" t="n">
        <v>1</v>
      </c>
      <c r="H549" s="36" t="n">
        <v>20300</v>
      </c>
    </row>
    <row r="550" s="37" customFormat="true" ht="13.8" hidden="false" customHeight="false" outlineLevel="0" collapsed="false">
      <c r="A550" s="25" t="n">
        <v>625</v>
      </c>
      <c r="B550" s="32" t="s">
        <v>396</v>
      </c>
      <c r="C550" s="32" t="str">
        <f aca="false">"0855855"</f>
        <v>0855855</v>
      </c>
      <c r="D550" s="33" t="s">
        <v>430</v>
      </c>
      <c r="E550" s="32" t="n">
        <v>1967</v>
      </c>
      <c r="F550" s="34" t="n">
        <f aca="false">6050.08*1.2</f>
        <v>7260.096</v>
      </c>
      <c r="G550" s="35" t="n">
        <v>1</v>
      </c>
      <c r="H550" s="36" t="n">
        <v>220</v>
      </c>
    </row>
    <row r="551" s="37" customFormat="true" ht="13.8" hidden="false" customHeight="false" outlineLevel="0" collapsed="false">
      <c r="A551" s="31" t="n">
        <v>626</v>
      </c>
      <c r="B551" s="32" t="s">
        <v>396</v>
      </c>
      <c r="C551" s="32" t="str">
        <f aca="false">"0855898"</f>
        <v>0855898</v>
      </c>
      <c r="D551" s="33" t="s">
        <v>431</v>
      </c>
      <c r="E551" s="32" t="n">
        <v>1968</v>
      </c>
      <c r="F551" s="34" t="n">
        <f aca="false">1534344.92*1.2</f>
        <v>1841213.904</v>
      </c>
      <c r="G551" s="35" t="n">
        <v>1</v>
      </c>
      <c r="H551" s="36" t="n">
        <v>48200</v>
      </c>
    </row>
    <row r="552" s="37" customFormat="true" ht="13.8" hidden="false" customHeight="false" outlineLevel="0" collapsed="false">
      <c r="A552" s="31" t="n">
        <v>628</v>
      </c>
      <c r="B552" s="32" t="s">
        <v>396</v>
      </c>
      <c r="C552" s="32" t="str">
        <f aca="false">"0862380"</f>
        <v>0862380</v>
      </c>
      <c r="D552" s="33" t="s">
        <v>432</v>
      </c>
      <c r="E552" s="32" t="n">
        <v>1986</v>
      </c>
      <c r="F552" s="34" t="n">
        <f aca="false">32010.37*1.1</f>
        <v>35211.407</v>
      </c>
      <c r="G552" s="35" t="n">
        <v>1</v>
      </c>
      <c r="H552" s="36" t="n">
        <v>1715</v>
      </c>
    </row>
    <row r="553" s="37" customFormat="true" ht="13.8" hidden="false" customHeight="false" outlineLevel="0" collapsed="false">
      <c r="A553" s="25" t="n">
        <v>629</v>
      </c>
      <c r="B553" s="32" t="s">
        <v>396</v>
      </c>
      <c r="C553" s="32" t="str">
        <f aca="false">"0855910"</f>
        <v>0855910</v>
      </c>
      <c r="D553" s="33" t="s">
        <v>433</v>
      </c>
      <c r="E553" s="32" t="n">
        <v>1968</v>
      </c>
      <c r="F553" s="34" t="n">
        <f aca="false">2414820.2*1.1</f>
        <v>2656302.22</v>
      </c>
      <c r="G553" s="35" t="n">
        <v>1</v>
      </c>
      <c r="H553" s="38" t="s">
        <v>160</v>
      </c>
    </row>
    <row r="554" s="37" customFormat="true" ht="13.8" hidden="false" customHeight="false" outlineLevel="0" collapsed="false">
      <c r="A554" s="31" t="n">
        <v>630</v>
      </c>
      <c r="B554" s="32" t="s">
        <v>396</v>
      </c>
      <c r="C554" s="32" t="str">
        <f aca="false">"0855928"</f>
        <v>0855928</v>
      </c>
      <c r="D554" s="33" t="s">
        <v>434</v>
      </c>
      <c r="E554" s="32" t="n">
        <v>1968</v>
      </c>
      <c r="F554" s="34" t="n">
        <f aca="false">946524.71*1.1</f>
        <v>1041177.181</v>
      </c>
      <c r="G554" s="35" t="n">
        <v>1</v>
      </c>
      <c r="H554" s="38" t="s">
        <v>160</v>
      </c>
    </row>
    <row r="555" s="37" customFormat="true" ht="13.8" hidden="false" customHeight="false" outlineLevel="0" collapsed="false">
      <c r="A555" s="25" t="n">
        <v>631</v>
      </c>
      <c r="B555" s="32" t="s">
        <v>396</v>
      </c>
      <c r="C555" s="32" t="str">
        <f aca="false">"0855944"</f>
        <v>0855944</v>
      </c>
      <c r="D555" s="33" t="s">
        <v>435</v>
      </c>
      <c r="E555" s="32" t="n">
        <v>1968</v>
      </c>
      <c r="F555" s="34" t="n">
        <f aca="false">320573.81*1.1</f>
        <v>352631.191</v>
      </c>
      <c r="G555" s="35" t="n">
        <v>1</v>
      </c>
      <c r="H555" s="36" t="n">
        <v>10100</v>
      </c>
    </row>
    <row r="556" s="37" customFormat="true" ht="13.8" hidden="false" customHeight="false" outlineLevel="0" collapsed="false">
      <c r="A556" s="31" t="n">
        <v>632</v>
      </c>
      <c r="B556" s="32" t="s">
        <v>396</v>
      </c>
      <c r="C556" s="32" t="str">
        <f aca="false">"0855960"</f>
        <v>0855960</v>
      </c>
      <c r="D556" s="33" t="s">
        <v>436</v>
      </c>
      <c r="E556" s="32" t="n">
        <v>1952</v>
      </c>
      <c r="F556" s="34" t="n">
        <f aca="false">11878.53*1.3</f>
        <v>15442.089</v>
      </c>
      <c r="G556" s="35" t="n">
        <v>1</v>
      </c>
      <c r="H556" s="38" t="s">
        <v>160</v>
      </c>
    </row>
    <row r="557" s="37" customFormat="true" ht="13.8" hidden="false" customHeight="false" outlineLevel="0" collapsed="false">
      <c r="A557" s="31" t="n">
        <v>634</v>
      </c>
      <c r="B557" s="32" t="s">
        <v>396</v>
      </c>
      <c r="C557" s="32" t="str">
        <f aca="false">"0855987"</f>
        <v>0855987</v>
      </c>
      <c r="D557" s="33" t="s">
        <v>437</v>
      </c>
      <c r="E557" s="32" t="n">
        <v>1968</v>
      </c>
      <c r="F557" s="34" t="n">
        <f aca="false">549666.05*1.1</f>
        <v>604632.655</v>
      </c>
      <c r="G557" s="35" t="n">
        <v>1</v>
      </c>
      <c r="H557" s="36" t="n">
        <v>18960</v>
      </c>
    </row>
    <row r="558" s="37" customFormat="true" ht="13.8" hidden="false" customHeight="false" outlineLevel="0" collapsed="false">
      <c r="A558" s="25" t="n">
        <v>635</v>
      </c>
      <c r="B558" s="32" t="s">
        <v>396</v>
      </c>
      <c r="C558" s="32" t="str">
        <f aca="false">"0856002"</f>
        <v>0856002</v>
      </c>
      <c r="D558" s="33" t="s">
        <v>438</v>
      </c>
      <c r="E558" s="32" t="n">
        <v>1968</v>
      </c>
      <c r="F558" s="34" t="n">
        <f aca="false">1416267.75*1.1</f>
        <v>1557894.525</v>
      </c>
      <c r="G558" s="35" t="n">
        <v>1</v>
      </c>
      <c r="H558" s="36" t="n">
        <v>48860</v>
      </c>
    </row>
    <row r="559" s="37" customFormat="true" ht="13.8" hidden="false" customHeight="false" outlineLevel="0" collapsed="false">
      <c r="A559" s="31" t="n">
        <v>636</v>
      </c>
      <c r="B559" s="32" t="s">
        <v>396</v>
      </c>
      <c r="C559" s="32" t="str">
        <f aca="false">"0856010"</f>
        <v>0856010</v>
      </c>
      <c r="D559" s="33" t="s">
        <v>439</v>
      </c>
      <c r="E559" s="32" t="n">
        <v>1969</v>
      </c>
      <c r="F559" s="34" t="n">
        <f aca="false">1416267.75*1.1</f>
        <v>1557894.525</v>
      </c>
      <c r="G559" s="35" t="n">
        <v>1</v>
      </c>
      <c r="H559" s="36" t="n">
        <v>50350</v>
      </c>
    </row>
    <row r="560" s="37" customFormat="true" ht="13.8" hidden="false" customHeight="false" outlineLevel="0" collapsed="false">
      <c r="A560" s="25" t="n">
        <v>637</v>
      </c>
      <c r="B560" s="32" t="s">
        <v>396</v>
      </c>
      <c r="C560" s="32" t="str">
        <f aca="false">"0856070"</f>
        <v>0856070</v>
      </c>
      <c r="D560" s="33" t="s">
        <v>440</v>
      </c>
      <c r="E560" s="32" t="n">
        <v>1970</v>
      </c>
      <c r="F560" s="34" t="n">
        <f aca="false">951353.28*1.1</f>
        <v>1046488.608</v>
      </c>
      <c r="G560" s="35" t="n">
        <v>1</v>
      </c>
      <c r="H560" s="36" t="n">
        <v>34830</v>
      </c>
    </row>
    <row r="561" s="37" customFormat="true" ht="13.8" hidden="false" customHeight="false" outlineLevel="0" collapsed="false">
      <c r="A561" s="31" t="n">
        <v>638</v>
      </c>
      <c r="B561" s="32" t="s">
        <v>396</v>
      </c>
      <c r="C561" s="32" t="str">
        <f aca="false">"0856088"</f>
        <v>0856088</v>
      </c>
      <c r="D561" s="33" t="s">
        <v>441</v>
      </c>
      <c r="E561" s="32" t="n">
        <v>1970</v>
      </c>
      <c r="F561" s="34" t="n">
        <f aca="false">13099.06*1.1</f>
        <v>14408.966</v>
      </c>
      <c r="G561" s="35" t="n">
        <v>1</v>
      </c>
      <c r="H561" s="36" t="n">
        <v>450</v>
      </c>
    </row>
    <row r="562" s="37" customFormat="true" ht="13.8" hidden="false" customHeight="false" outlineLevel="0" collapsed="false">
      <c r="A562" s="25" t="n">
        <v>639</v>
      </c>
      <c r="B562" s="32" t="s">
        <v>396</v>
      </c>
      <c r="C562" s="32" t="str">
        <f aca="false">"0856100"</f>
        <v>0856100</v>
      </c>
      <c r="D562" s="33" t="s">
        <v>442</v>
      </c>
      <c r="E562" s="32" t="n">
        <v>1971</v>
      </c>
      <c r="F562" s="34" t="n">
        <f aca="false">391695.83*1.1</f>
        <v>430865.413</v>
      </c>
      <c r="G562" s="35" t="n">
        <v>2</v>
      </c>
      <c r="H562" s="36" t="n">
        <v>29500</v>
      </c>
    </row>
    <row r="563" s="37" customFormat="true" ht="13.8" hidden="false" customHeight="false" outlineLevel="0" collapsed="false">
      <c r="A563" s="31" t="n">
        <v>640</v>
      </c>
      <c r="B563" s="32" t="s">
        <v>396</v>
      </c>
      <c r="C563" s="32" t="str">
        <f aca="false">"0856118"</f>
        <v>0856118</v>
      </c>
      <c r="D563" s="33" t="s">
        <v>443</v>
      </c>
      <c r="E563" s="32" t="n">
        <v>1971</v>
      </c>
      <c r="F563" s="34" t="n">
        <f aca="false">1040870.42*1.1</f>
        <v>1144957.462</v>
      </c>
      <c r="G563" s="35" t="n">
        <v>2</v>
      </c>
      <c r="H563" s="36" t="n">
        <v>78400</v>
      </c>
    </row>
    <row r="564" s="37" customFormat="true" ht="13.8" hidden="false" customHeight="false" outlineLevel="0" collapsed="false">
      <c r="A564" s="31" t="n">
        <v>642</v>
      </c>
      <c r="B564" s="32" t="s">
        <v>396</v>
      </c>
      <c r="C564" s="32" t="str">
        <f aca="false">"0856169"</f>
        <v>0856169</v>
      </c>
      <c r="D564" s="33" t="s">
        <v>444</v>
      </c>
      <c r="E564" s="32" t="n">
        <v>1949</v>
      </c>
      <c r="F564" s="34" t="n">
        <f aca="false">181003.43*1.4</f>
        <v>253404.802</v>
      </c>
      <c r="G564" s="35" t="n">
        <v>1</v>
      </c>
      <c r="H564" s="38" t="s">
        <v>160</v>
      </c>
    </row>
    <row r="565" s="37" customFormat="true" ht="13.8" hidden="false" customHeight="false" outlineLevel="0" collapsed="false">
      <c r="A565" s="25" t="n">
        <v>643</v>
      </c>
      <c r="B565" s="32" t="s">
        <v>396</v>
      </c>
      <c r="C565" s="32" t="str">
        <f aca="false">"0856177"</f>
        <v>0856177</v>
      </c>
      <c r="D565" s="33" t="s">
        <v>445</v>
      </c>
      <c r="E565" s="32" t="n">
        <v>1977</v>
      </c>
      <c r="F565" s="34" t="n">
        <f aca="false">25246995.75*1.2</f>
        <v>30296394.9</v>
      </c>
      <c r="G565" s="35" t="n">
        <v>1</v>
      </c>
      <c r="H565" s="36" t="n">
        <v>727120</v>
      </c>
    </row>
    <row r="566" s="37" customFormat="true" ht="13.8" hidden="false" customHeight="false" outlineLevel="0" collapsed="false">
      <c r="A566" s="25" t="n">
        <v>645</v>
      </c>
      <c r="B566" s="32" t="s">
        <v>396</v>
      </c>
      <c r="C566" s="32" t="str">
        <f aca="false">"0856193"</f>
        <v>0856193</v>
      </c>
      <c r="D566" s="33" t="s">
        <v>446</v>
      </c>
      <c r="E566" s="32" t="n">
        <v>1971</v>
      </c>
      <c r="F566" s="34" t="n">
        <f aca="false">3085770.07*1.1</f>
        <v>3394347.077</v>
      </c>
      <c r="G566" s="35" t="n">
        <v>1</v>
      </c>
      <c r="H566" s="36" t="n">
        <v>116250</v>
      </c>
    </row>
    <row r="567" s="37" customFormat="true" ht="13.8" hidden="false" customHeight="false" outlineLevel="0" collapsed="false">
      <c r="A567" s="31" t="n">
        <v>646</v>
      </c>
      <c r="B567" s="32" t="s">
        <v>396</v>
      </c>
      <c r="C567" s="32" t="str">
        <f aca="false">"0856231"</f>
        <v>0856231</v>
      </c>
      <c r="D567" s="33" t="s">
        <v>447</v>
      </c>
      <c r="E567" s="32" t="n">
        <v>1971</v>
      </c>
      <c r="F567" s="34" t="n">
        <f aca="false">7134.23*1.1</f>
        <v>7847.653</v>
      </c>
      <c r="G567" s="35" t="n">
        <v>2</v>
      </c>
      <c r="H567" s="36" t="n">
        <v>500</v>
      </c>
    </row>
    <row r="568" s="37" customFormat="true" ht="13.8" hidden="false" customHeight="false" outlineLevel="0" collapsed="false">
      <c r="A568" s="25" t="n">
        <v>647</v>
      </c>
      <c r="B568" s="32" t="s">
        <v>396</v>
      </c>
      <c r="C568" s="32" t="str">
        <f aca="false">"0856258"</f>
        <v>0856258</v>
      </c>
      <c r="D568" s="33" t="s">
        <v>448</v>
      </c>
      <c r="E568" s="32" t="n">
        <v>1971</v>
      </c>
      <c r="F568" s="34" t="n">
        <f aca="false">252634.58*1.1</f>
        <v>277898.038</v>
      </c>
      <c r="G568" s="35" t="n">
        <v>3</v>
      </c>
      <c r="H568" s="36" t="n">
        <v>26940</v>
      </c>
    </row>
    <row r="569" s="37" customFormat="true" ht="13.8" hidden="false" customHeight="false" outlineLevel="0" collapsed="false">
      <c r="A569" s="31" t="n">
        <v>648</v>
      </c>
      <c r="B569" s="32" t="s">
        <v>396</v>
      </c>
      <c r="C569" s="32" t="str">
        <f aca="false">"0856282"</f>
        <v>0856282</v>
      </c>
      <c r="D569" s="33" t="s">
        <v>449</v>
      </c>
      <c r="E569" s="32" t="n">
        <v>1971</v>
      </c>
      <c r="F569" s="34" t="n">
        <f aca="false">137718.57*1.1</f>
        <v>151490.427</v>
      </c>
      <c r="G569" s="35" t="n">
        <v>2</v>
      </c>
      <c r="H569" s="36" t="n">
        <v>9800</v>
      </c>
    </row>
    <row r="570" s="37" customFormat="true" ht="13.8" hidden="false" customHeight="false" outlineLevel="0" collapsed="false">
      <c r="A570" s="25" t="n">
        <v>649</v>
      </c>
      <c r="B570" s="32" t="s">
        <v>396</v>
      </c>
      <c r="C570" s="32" t="str">
        <f aca="false">"0856304"</f>
        <v>0856304</v>
      </c>
      <c r="D570" s="33" t="s">
        <v>449</v>
      </c>
      <c r="E570" s="32" t="n">
        <v>1971</v>
      </c>
      <c r="F570" s="34" t="n">
        <f aca="false">24905.11*1.1</f>
        <v>27395.621</v>
      </c>
      <c r="G570" s="35" t="n">
        <v>1</v>
      </c>
      <c r="H570" s="36" t="n">
        <v>890</v>
      </c>
    </row>
    <row r="571" s="37" customFormat="true" ht="13.8" hidden="false" customHeight="false" outlineLevel="0" collapsed="false">
      <c r="A571" s="31" t="n">
        <v>650</v>
      </c>
      <c r="B571" s="32" t="s">
        <v>396</v>
      </c>
      <c r="C571" s="32" t="str">
        <f aca="false">"0856312"</f>
        <v>0856312</v>
      </c>
      <c r="D571" s="33" t="s">
        <v>450</v>
      </c>
      <c r="E571" s="32" t="n">
        <v>1971</v>
      </c>
      <c r="F571" s="34" t="n">
        <f aca="false">204256.35*1.1</f>
        <v>224681.985</v>
      </c>
      <c r="G571" s="35" t="n">
        <v>2</v>
      </c>
      <c r="H571" s="36" t="n">
        <v>14520</v>
      </c>
    </row>
    <row r="572" s="37" customFormat="true" ht="13.8" hidden="false" customHeight="false" outlineLevel="0" collapsed="false">
      <c r="A572" s="25" t="n">
        <v>651</v>
      </c>
      <c r="B572" s="32" t="s">
        <v>396</v>
      </c>
      <c r="C572" s="32" t="str">
        <f aca="false">"0856339"</f>
        <v>0856339</v>
      </c>
      <c r="D572" s="33" t="s">
        <v>425</v>
      </c>
      <c r="E572" s="32" t="n">
        <v>1971</v>
      </c>
      <c r="F572" s="34" t="n">
        <f aca="false">17206.02*1.1</f>
        <v>18926.622</v>
      </c>
      <c r="G572" s="35" t="n">
        <v>1</v>
      </c>
      <c r="H572" s="36" t="n">
        <v>610</v>
      </c>
    </row>
    <row r="573" s="37" customFormat="true" ht="13.8" hidden="false" customHeight="false" outlineLevel="0" collapsed="false">
      <c r="A573" s="31" t="n">
        <v>652</v>
      </c>
      <c r="B573" s="32" t="s">
        <v>396</v>
      </c>
      <c r="C573" s="32" t="str">
        <f aca="false">"0856355"</f>
        <v>0856355</v>
      </c>
      <c r="D573" s="33" t="s">
        <v>451</v>
      </c>
      <c r="E573" s="32" t="n">
        <v>1971</v>
      </c>
      <c r="F573" s="34" t="n">
        <f aca="false">1784871.18*1.1</f>
        <v>1963358.298</v>
      </c>
      <c r="G573" s="35" t="n">
        <v>1</v>
      </c>
      <c r="H573" s="36" t="n">
        <v>67230</v>
      </c>
    </row>
    <row r="574" s="37" customFormat="true" ht="13.8" hidden="false" customHeight="false" outlineLevel="0" collapsed="false">
      <c r="A574" s="25" t="n">
        <v>653</v>
      </c>
      <c r="B574" s="32" t="s">
        <v>396</v>
      </c>
      <c r="C574" s="32" t="str">
        <f aca="false">"0856363"</f>
        <v>0856363</v>
      </c>
      <c r="D574" s="33" t="s">
        <v>452</v>
      </c>
      <c r="E574" s="32" t="n">
        <v>1971</v>
      </c>
      <c r="F574" s="34" t="n">
        <f aca="false">2826144.05*1.1</f>
        <v>3108758.455</v>
      </c>
      <c r="G574" s="35" t="n">
        <v>1</v>
      </c>
      <c r="H574" s="36" t="n">
        <v>106450</v>
      </c>
    </row>
    <row r="575" s="37" customFormat="true" ht="13.8" hidden="false" customHeight="false" outlineLevel="0" collapsed="false">
      <c r="A575" s="31" t="n">
        <v>654</v>
      </c>
      <c r="B575" s="32" t="s">
        <v>396</v>
      </c>
      <c r="C575" s="32" t="str">
        <f aca="false">"0862592"</f>
        <v>0862592</v>
      </c>
      <c r="D575" s="33" t="s">
        <v>453</v>
      </c>
      <c r="E575" s="32" t="n">
        <v>1989</v>
      </c>
      <c r="F575" s="34" t="n">
        <f aca="false">13495.71*1.05</f>
        <v>14170.4955</v>
      </c>
      <c r="G575" s="35" t="n">
        <v>1</v>
      </c>
      <c r="H575" s="36" t="n">
        <v>700</v>
      </c>
    </row>
    <row r="576" s="37" customFormat="true" ht="13.8" hidden="false" customHeight="false" outlineLevel="0" collapsed="false">
      <c r="A576" s="25" t="n">
        <v>655</v>
      </c>
      <c r="B576" s="32" t="s">
        <v>396</v>
      </c>
      <c r="C576" s="32" t="str">
        <f aca="false">"0862681"</f>
        <v>0862681</v>
      </c>
      <c r="D576" s="33" t="s">
        <v>454</v>
      </c>
      <c r="E576" s="32" t="n">
        <v>2001</v>
      </c>
      <c r="F576" s="34" t="n">
        <f aca="false">4955.72</f>
        <v>4955.72</v>
      </c>
      <c r="G576" s="35" t="n">
        <v>1</v>
      </c>
      <c r="H576" s="36" t="n">
        <v>415</v>
      </c>
    </row>
    <row r="577" s="37" customFormat="true" ht="13.8" hidden="false" customHeight="false" outlineLevel="0" collapsed="false">
      <c r="A577" s="31" t="n">
        <v>656</v>
      </c>
      <c r="B577" s="32" t="s">
        <v>396</v>
      </c>
      <c r="C577" s="32" t="str">
        <f aca="false">"0867160"</f>
        <v>0867160</v>
      </c>
      <c r="D577" s="33" t="s">
        <v>455</v>
      </c>
      <c r="E577" s="32" t="n">
        <v>1982</v>
      </c>
      <c r="F577" s="34" t="n">
        <f aca="false">5959.55</f>
        <v>5959.55</v>
      </c>
      <c r="G577" s="35" t="n">
        <v>2</v>
      </c>
      <c r="H577" s="36" t="n">
        <v>520</v>
      </c>
    </row>
    <row r="578" s="37" customFormat="true" ht="13.8" hidden="false" customHeight="false" outlineLevel="0" collapsed="false">
      <c r="A578" s="25" t="n">
        <v>657</v>
      </c>
      <c r="B578" s="32" t="s">
        <v>396</v>
      </c>
      <c r="C578" s="32" t="str">
        <f aca="false">"0867195"</f>
        <v>0867195</v>
      </c>
      <c r="D578" s="33" t="s">
        <v>455</v>
      </c>
      <c r="E578" s="32" t="n">
        <v>1982</v>
      </c>
      <c r="F578" s="34" t="n">
        <f aca="false">6457.05</f>
        <v>6457.05</v>
      </c>
      <c r="G578" s="35" t="n">
        <v>1</v>
      </c>
      <c r="H578" s="36" t="n">
        <v>280</v>
      </c>
    </row>
    <row r="579" s="37" customFormat="true" ht="13.8" hidden="false" customHeight="false" outlineLevel="0" collapsed="false">
      <c r="A579" s="31" t="n">
        <v>658</v>
      </c>
      <c r="B579" s="32" t="s">
        <v>396</v>
      </c>
      <c r="C579" s="32" t="str">
        <f aca="false">"0856401"</f>
        <v>0856401</v>
      </c>
      <c r="D579" s="33" t="s">
        <v>450</v>
      </c>
      <c r="E579" s="32" t="n">
        <v>1972</v>
      </c>
      <c r="F579" s="34" t="n">
        <f aca="false">205250.94*1.2</f>
        <v>246301.128</v>
      </c>
      <c r="G579" s="35" t="n">
        <v>2</v>
      </c>
      <c r="H579" s="36" t="n">
        <v>16400</v>
      </c>
    </row>
    <row r="580" s="37" customFormat="true" ht="13.8" hidden="false" customHeight="false" outlineLevel="0" collapsed="false">
      <c r="A580" s="31" t="n">
        <v>660</v>
      </c>
      <c r="B580" s="32" t="s">
        <v>396</v>
      </c>
      <c r="C580" s="32" t="str">
        <f aca="false">"0856444"</f>
        <v>0856444</v>
      </c>
      <c r="D580" s="33" t="s">
        <v>456</v>
      </c>
      <c r="E580" s="32" t="n">
        <v>1972</v>
      </c>
      <c r="F580" s="34" t="n">
        <f aca="false">9641766.63*1.2</f>
        <v>11570119.956</v>
      </c>
      <c r="G580" s="35" t="n">
        <v>1</v>
      </c>
      <c r="H580" s="36" t="n">
        <v>407270</v>
      </c>
    </row>
    <row r="581" s="37" customFormat="true" ht="13.8" hidden="false" customHeight="false" outlineLevel="0" collapsed="false">
      <c r="A581" s="25" t="n">
        <v>661</v>
      </c>
      <c r="B581" s="32" t="s">
        <v>396</v>
      </c>
      <c r="C581" s="32" t="str">
        <f aca="false">"0856452"</f>
        <v>0856452</v>
      </c>
      <c r="D581" s="33" t="s">
        <v>457</v>
      </c>
      <c r="E581" s="32" t="n">
        <v>1972</v>
      </c>
      <c r="F581" s="34" t="n">
        <f aca="false">2122057.21*1.2</f>
        <v>2546468.652</v>
      </c>
      <c r="G581" s="35" t="n">
        <v>1</v>
      </c>
      <c r="H581" s="36" t="n">
        <v>89640</v>
      </c>
    </row>
    <row r="582" s="37" customFormat="true" ht="13.8" hidden="false" customHeight="false" outlineLevel="0" collapsed="false">
      <c r="A582" s="31" t="n">
        <v>662</v>
      </c>
      <c r="B582" s="32" t="s">
        <v>396</v>
      </c>
      <c r="C582" s="32" t="str">
        <f aca="false">"0856479"</f>
        <v>0856479</v>
      </c>
      <c r="D582" s="33" t="s">
        <v>458</v>
      </c>
      <c r="E582" s="32" t="n">
        <v>1972</v>
      </c>
      <c r="F582" s="34" t="n">
        <f aca="false">2943642.08*1.2</f>
        <v>3532370.496</v>
      </c>
      <c r="G582" s="35" t="n">
        <v>1</v>
      </c>
      <c r="H582" s="36" t="n">
        <v>124340</v>
      </c>
    </row>
    <row r="583" s="37" customFormat="true" ht="13.8" hidden="false" customHeight="false" outlineLevel="0" collapsed="false">
      <c r="A583" s="25" t="n">
        <v>663</v>
      </c>
      <c r="B583" s="32" t="s">
        <v>396</v>
      </c>
      <c r="C583" s="32" t="str">
        <f aca="false">"0856487"</f>
        <v>0856487</v>
      </c>
      <c r="D583" s="33" t="s">
        <v>459</v>
      </c>
      <c r="E583" s="32" t="n">
        <v>1972</v>
      </c>
      <c r="F583" s="34" t="n">
        <f aca="false">535703.39*1.2</f>
        <v>642844.068</v>
      </c>
      <c r="G583" s="35" t="n">
        <v>1</v>
      </c>
      <c r="H583" s="36" t="n">
        <v>22630</v>
      </c>
    </row>
    <row r="584" s="37" customFormat="true" ht="13.8" hidden="false" customHeight="false" outlineLevel="0" collapsed="false">
      <c r="A584" s="31" t="n">
        <v>664</v>
      </c>
      <c r="B584" s="32" t="s">
        <v>396</v>
      </c>
      <c r="C584" s="32" t="str">
        <f aca="false">"0856606"</f>
        <v>0856606</v>
      </c>
      <c r="D584" s="33" t="s">
        <v>460</v>
      </c>
      <c r="E584" s="32" t="n">
        <v>1973</v>
      </c>
      <c r="F584" s="34" t="n">
        <f aca="false">5880.89*1.2</f>
        <v>7057.068</v>
      </c>
      <c r="G584" s="35" t="n">
        <v>1</v>
      </c>
      <c r="H584" s="36" t="n">
        <v>255</v>
      </c>
    </row>
    <row r="585" s="37" customFormat="true" ht="13.8" hidden="false" customHeight="false" outlineLevel="0" collapsed="false">
      <c r="A585" s="25" t="n">
        <v>665</v>
      </c>
      <c r="B585" s="32" t="s">
        <v>396</v>
      </c>
      <c r="C585" s="32" t="str">
        <f aca="false">"0856614"</f>
        <v>0856614</v>
      </c>
      <c r="D585" s="33" t="s">
        <v>461</v>
      </c>
      <c r="E585" s="32" t="n">
        <v>1974</v>
      </c>
      <c r="F585" s="34" t="n">
        <f aca="false">10433.25*1.2</f>
        <v>12519.9</v>
      </c>
      <c r="G585" s="35" t="n">
        <v>1</v>
      </c>
      <c r="H585" s="36" t="n">
        <v>440</v>
      </c>
    </row>
    <row r="586" s="37" customFormat="true" ht="13.8" hidden="false" customHeight="false" outlineLevel="0" collapsed="false">
      <c r="A586" s="31" t="n">
        <v>666</v>
      </c>
      <c r="B586" s="32" t="s">
        <v>396</v>
      </c>
      <c r="C586" s="32" t="str">
        <f aca="false">"0856622"</f>
        <v>0856622</v>
      </c>
      <c r="D586" s="33" t="s">
        <v>462</v>
      </c>
      <c r="E586" s="32" t="n">
        <v>1952</v>
      </c>
      <c r="F586" s="34" t="n">
        <f aca="false">11058.23*1.3</f>
        <v>14375.699</v>
      </c>
      <c r="G586" s="35" t="n">
        <v>1</v>
      </c>
      <c r="H586" s="36" t="n">
        <v>230</v>
      </c>
    </row>
    <row r="587" s="37" customFormat="true" ht="13.8" hidden="false" customHeight="false" outlineLevel="0" collapsed="false">
      <c r="A587" s="25" t="n">
        <v>667</v>
      </c>
      <c r="B587" s="32" t="s">
        <v>396</v>
      </c>
      <c r="C587" s="32" t="str">
        <f aca="false">"0856649"</f>
        <v>0856649</v>
      </c>
      <c r="D587" s="33" t="s">
        <v>463</v>
      </c>
      <c r="E587" s="32" t="n">
        <v>1968</v>
      </c>
      <c r="F587" s="34" t="n">
        <f aca="false">802019.35*1.2</f>
        <v>962423.22</v>
      </c>
      <c r="G587" s="35" t="n">
        <v>1</v>
      </c>
      <c r="H587" s="38" t="s">
        <v>160</v>
      </c>
    </row>
    <row r="588" s="37" customFormat="true" ht="13.8" hidden="false" customHeight="false" outlineLevel="0" collapsed="false">
      <c r="A588" s="25" t="n">
        <v>669</v>
      </c>
      <c r="B588" s="32" t="s">
        <v>396</v>
      </c>
      <c r="C588" s="32" t="str">
        <f aca="false">"0856711"</f>
        <v>0856711</v>
      </c>
      <c r="D588" s="33" t="s">
        <v>464</v>
      </c>
      <c r="E588" s="32" t="n">
        <v>1977</v>
      </c>
      <c r="F588" s="34" t="n">
        <f aca="false">21459.71*1.2</f>
        <v>25751.652</v>
      </c>
      <c r="G588" s="35" t="n">
        <v>1</v>
      </c>
      <c r="H588" s="36" t="n">
        <v>1030</v>
      </c>
    </row>
    <row r="589" s="37" customFormat="true" ht="13.8" hidden="false" customHeight="false" outlineLevel="0" collapsed="false">
      <c r="A589" s="25" t="n">
        <v>671</v>
      </c>
      <c r="B589" s="32" t="s">
        <v>396</v>
      </c>
      <c r="C589" s="32" t="str">
        <f aca="false">"0856819"</f>
        <v>0856819</v>
      </c>
      <c r="D589" s="33" t="s">
        <v>465</v>
      </c>
      <c r="E589" s="32" t="n">
        <v>1979</v>
      </c>
      <c r="F589" s="34" t="n">
        <f aca="false">57876.26</f>
        <v>57876.26</v>
      </c>
      <c r="G589" s="35" t="n">
        <v>1</v>
      </c>
      <c r="H589" s="36" t="n">
        <v>2320</v>
      </c>
    </row>
    <row r="590" s="37" customFormat="true" ht="13.8" hidden="false" customHeight="false" outlineLevel="0" collapsed="false">
      <c r="A590" s="31" t="n">
        <v>672</v>
      </c>
      <c r="B590" s="32" t="s">
        <v>396</v>
      </c>
      <c r="C590" s="32" t="str">
        <f aca="false">"0856827"</f>
        <v>0856827</v>
      </c>
      <c r="D590" s="33" t="s">
        <v>466</v>
      </c>
      <c r="E590" s="32" t="n">
        <v>1979</v>
      </c>
      <c r="F590" s="34" t="n">
        <f aca="false">10918.57</f>
        <v>10918.57</v>
      </c>
      <c r="G590" s="35" t="n">
        <v>1</v>
      </c>
      <c r="H590" s="36" t="n">
        <v>440</v>
      </c>
    </row>
    <row r="591" s="37" customFormat="true" ht="13.8" hidden="false" customHeight="false" outlineLevel="0" collapsed="false">
      <c r="A591" s="25" t="n">
        <v>673</v>
      </c>
      <c r="B591" s="32" t="s">
        <v>396</v>
      </c>
      <c r="C591" s="32" t="str">
        <f aca="false">"0856835"</f>
        <v>0856835</v>
      </c>
      <c r="D591" s="33" t="s">
        <v>467</v>
      </c>
      <c r="E591" s="32" t="n">
        <v>1979</v>
      </c>
      <c r="F591" s="34" t="n">
        <f aca="false">41673.8</f>
        <v>41673.8</v>
      </c>
      <c r="G591" s="35" t="n">
        <v>1</v>
      </c>
      <c r="H591" s="36" t="n">
        <v>1750</v>
      </c>
    </row>
    <row r="592" s="37" customFormat="true" ht="13.8" hidden="false" customHeight="false" outlineLevel="0" collapsed="false">
      <c r="A592" s="31" t="n">
        <v>674</v>
      </c>
      <c r="B592" s="32" t="s">
        <v>396</v>
      </c>
      <c r="C592" s="32" t="str">
        <f aca="false">"0856843"</f>
        <v>0856843</v>
      </c>
      <c r="D592" s="33" t="s">
        <v>468</v>
      </c>
      <c r="E592" s="32" t="n">
        <v>1979</v>
      </c>
      <c r="F592" s="34" t="n">
        <f aca="false">31600*19.06</f>
        <v>602296</v>
      </c>
      <c r="G592" s="35" t="n">
        <v>1</v>
      </c>
      <c r="H592" s="36" t="n">
        <v>25250</v>
      </c>
    </row>
    <row r="593" s="37" customFormat="true" ht="13.8" hidden="false" customHeight="false" outlineLevel="0" collapsed="false">
      <c r="A593" s="25" t="n">
        <v>675</v>
      </c>
      <c r="B593" s="32" t="s">
        <v>396</v>
      </c>
      <c r="C593" s="32" t="str">
        <f aca="false">"0856894"</f>
        <v>0856894</v>
      </c>
      <c r="D593" s="33" t="s">
        <v>469</v>
      </c>
      <c r="E593" s="32" t="n">
        <v>1983</v>
      </c>
      <c r="F593" s="34" t="n">
        <f aca="false">11277458.72*1.2</f>
        <v>13532950.464</v>
      </c>
      <c r="G593" s="35" t="n">
        <v>1</v>
      </c>
      <c r="H593" s="36" t="n">
        <v>619270</v>
      </c>
    </row>
    <row r="594" s="37" customFormat="true" ht="13.8" hidden="false" customHeight="false" outlineLevel="0" collapsed="false">
      <c r="A594" s="31" t="n">
        <v>676</v>
      </c>
      <c r="B594" s="32" t="s">
        <v>396</v>
      </c>
      <c r="C594" s="32" t="str">
        <f aca="false">"0856991"</f>
        <v>0856991</v>
      </c>
      <c r="D594" s="33" t="s">
        <v>470</v>
      </c>
      <c r="E594" s="32" t="n">
        <v>1985</v>
      </c>
      <c r="F594" s="34" t="n">
        <f aca="false">22350*7.5</f>
        <v>167625</v>
      </c>
      <c r="G594" s="35" t="n">
        <v>1</v>
      </c>
      <c r="H594" s="36" t="n">
        <v>8000</v>
      </c>
    </row>
    <row r="595" s="37" customFormat="true" ht="13.8" hidden="false" customHeight="false" outlineLevel="0" collapsed="false">
      <c r="A595" s="25" t="n">
        <v>677</v>
      </c>
      <c r="B595" s="32" t="s">
        <v>396</v>
      </c>
      <c r="C595" s="32" t="str">
        <f aca="false">"0857009"</f>
        <v>0857009</v>
      </c>
      <c r="D595" s="33" t="s">
        <v>471</v>
      </c>
      <c r="E595" s="32" t="n">
        <v>1984</v>
      </c>
      <c r="F595" s="34" t="n">
        <f aca="false">18353.8</f>
        <v>18353.8</v>
      </c>
      <c r="G595" s="35" t="n">
        <v>1</v>
      </c>
      <c r="H595" s="36" t="n">
        <v>830</v>
      </c>
    </row>
    <row r="596" s="37" customFormat="true" ht="13.8" hidden="false" customHeight="false" outlineLevel="0" collapsed="false">
      <c r="A596" s="31" t="n">
        <v>678</v>
      </c>
      <c r="B596" s="32" t="s">
        <v>396</v>
      </c>
      <c r="C596" s="32" t="str">
        <f aca="false">"0857017"</f>
        <v>0857017</v>
      </c>
      <c r="D596" s="33" t="s">
        <v>472</v>
      </c>
      <c r="E596" s="32" t="n">
        <v>1984</v>
      </c>
      <c r="F596" s="34" t="n">
        <f aca="false">41713.4</f>
        <v>41713.4</v>
      </c>
      <c r="G596" s="35" t="n">
        <v>3</v>
      </c>
      <c r="H596" s="36" t="n">
        <v>5610</v>
      </c>
    </row>
    <row r="597" s="37" customFormat="true" ht="13.8" hidden="false" customHeight="false" outlineLevel="0" collapsed="false">
      <c r="A597" s="25" t="n">
        <v>679</v>
      </c>
      <c r="B597" s="32" t="s">
        <v>396</v>
      </c>
      <c r="C597" s="32" t="str">
        <f aca="false">"0857041"</f>
        <v>0857041</v>
      </c>
      <c r="D597" s="33" t="s">
        <v>473</v>
      </c>
      <c r="E597" s="32" t="n">
        <v>1984</v>
      </c>
      <c r="F597" s="34" t="n">
        <f aca="false">41713.4</f>
        <v>41713.4</v>
      </c>
      <c r="G597" s="35" t="n">
        <v>1</v>
      </c>
      <c r="H597" s="36" t="n">
        <v>1870</v>
      </c>
    </row>
    <row r="598" s="37" customFormat="true" ht="13.8" hidden="false" customHeight="false" outlineLevel="0" collapsed="false">
      <c r="A598" s="31" t="n">
        <v>680</v>
      </c>
      <c r="B598" s="32" t="s">
        <v>396</v>
      </c>
      <c r="C598" s="32" t="str">
        <f aca="false">"0857050"</f>
        <v>0857050</v>
      </c>
      <c r="D598" s="33" t="s">
        <v>474</v>
      </c>
      <c r="E598" s="32" t="n">
        <v>1984</v>
      </c>
      <c r="F598" s="34" t="n">
        <f aca="false">45884.7</f>
        <v>45884.7</v>
      </c>
      <c r="G598" s="35" t="n">
        <v>1</v>
      </c>
      <c r="H598" s="36" t="n">
        <v>2050</v>
      </c>
    </row>
    <row r="599" s="37" customFormat="true" ht="13.8" hidden="false" customHeight="false" outlineLevel="0" collapsed="false">
      <c r="A599" s="25" t="n">
        <v>681</v>
      </c>
      <c r="B599" s="32" t="s">
        <v>396</v>
      </c>
      <c r="C599" s="32" t="str">
        <f aca="false">"0857068"</f>
        <v>0857068</v>
      </c>
      <c r="D599" s="33" t="s">
        <v>475</v>
      </c>
      <c r="E599" s="32" t="n">
        <v>1984</v>
      </c>
      <c r="F599" s="34" t="n">
        <f aca="false">6674.14</f>
        <v>6674.14</v>
      </c>
      <c r="G599" s="35" t="n">
        <v>3</v>
      </c>
      <c r="H599" s="36" t="n">
        <v>900</v>
      </c>
    </row>
    <row r="600" s="37" customFormat="true" ht="13.8" hidden="false" customHeight="false" outlineLevel="0" collapsed="false">
      <c r="A600" s="31" t="n">
        <v>682</v>
      </c>
      <c r="B600" s="32" t="s">
        <v>396</v>
      </c>
      <c r="C600" s="32" t="str">
        <f aca="false">"0857114"</f>
        <v>0857114</v>
      </c>
      <c r="D600" s="33" t="s">
        <v>476</v>
      </c>
      <c r="E600" s="32" t="n">
        <v>1984</v>
      </c>
      <c r="F600" s="34" t="n">
        <f aca="false">1167.92</f>
        <v>1167.92</v>
      </c>
      <c r="G600" s="35" t="n">
        <v>1</v>
      </c>
      <c r="H600" s="36" t="n">
        <v>60</v>
      </c>
    </row>
    <row r="601" s="37" customFormat="true" ht="13.8" hidden="false" customHeight="false" outlineLevel="0" collapsed="false">
      <c r="A601" s="25" t="n">
        <v>683</v>
      </c>
      <c r="B601" s="32" t="s">
        <v>396</v>
      </c>
      <c r="C601" s="32" t="str">
        <f aca="false">"0857122"</f>
        <v>0857122</v>
      </c>
      <c r="D601" s="33" t="s">
        <v>477</v>
      </c>
      <c r="E601" s="32" t="n">
        <v>1985</v>
      </c>
      <c r="F601" s="34" t="n">
        <f aca="false">4583.14</f>
        <v>4583.14</v>
      </c>
      <c r="G601" s="35" t="n">
        <v>1</v>
      </c>
      <c r="H601" s="36" t="n">
        <v>210</v>
      </c>
    </row>
    <row r="602" s="37" customFormat="true" ht="13.8" hidden="false" customHeight="false" outlineLevel="0" collapsed="false">
      <c r="A602" s="25" t="n">
        <v>685</v>
      </c>
      <c r="B602" s="32" t="s">
        <v>396</v>
      </c>
      <c r="C602" s="32" t="str">
        <f aca="false">"0857220"</f>
        <v>0857220</v>
      </c>
      <c r="D602" s="33" t="s">
        <v>478</v>
      </c>
      <c r="E602" s="32" t="n">
        <v>1986</v>
      </c>
      <c r="F602" s="34" t="n">
        <f aca="false">3661.65</f>
        <v>3661.65</v>
      </c>
      <c r="G602" s="35" t="n">
        <v>1</v>
      </c>
      <c r="H602" s="36" t="n">
        <v>180</v>
      </c>
    </row>
    <row r="603" s="37" customFormat="true" ht="13.8" hidden="false" customHeight="false" outlineLevel="0" collapsed="false">
      <c r="A603" s="25" t="n">
        <v>689</v>
      </c>
      <c r="B603" s="32" t="s">
        <v>396</v>
      </c>
      <c r="C603" s="32" t="str">
        <f aca="false">"0857300"</f>
        <v>0857300</v>
      </c>
      <c r="D603" s="33" t="s">
        <v>479</v>
      </c>
      <c r="E603" s="32" t="n">
        <v>1957</v>
      </c>
      <c r="F603" s="34" t="n">
        <f aca="false">693112.2*1.2</f>
        <v>831734.64</v>
      </c>
      <c r="G603" s="35" t="n">
        <v>1</v>
      </c>
      <c r="H603" s="36" t="n">
        <v>17300</v>
      </c>
    </row>
    <row r="604" s="37" customFormat="true" ht="13.8" hidden="false" customHeight="false" outlineLevel="0" collapsed="false">
      <c r="A604" s="31" t="n">
        <v>690</v>
      </c>
      <c r="B604" s="32" t="s">
        <v>396</v>
      </c>
      <c r="C604" s="32" t="str">
        <f aca="false">"0857343"</f>
        <v>0857343</v>
      </c>
      <c r="D604" s="33" t="s">
        <v>480</v>
      </c>
      <c r="E604" s="32" t="n">
        <v>1986</v>
      </c>
      <c r="F604" s="34" t="n">
        <f aca="false">34940.04*1.2</f>
        <v>41928.048</v>
      </c>
      <c r="G604" s="35" t="n">
        <v>1</v>
      </c>
      <c r="H604" s="36" t="n">
        <v>20140</v>
      </c>
    </row>
    <row r="605" s="37" customFormat="true" ht="13.8" hidden="false" customHeight="false" outlineLevel="0" collapsed="false">
      <c r="A605" s="25" t="n">
        <v>691</v>
      </c>
      <c r="B605" s="32" t="s">
        <v>396</v>
      </c>
      <c r="C605" s="32" t="str">
        <f aca="false">"0857360"</f>
        <v>0857360</v>
      </c>
      <c r="D605" s="33" t="s">
        <v>481</v>
      </c>
      <c r="E605" s="32" t="n">
        <v>1986</v>
      </c>
      <c r="F605" s="34" t="n">
        <f aca="false">3591.27</f>
        <v>3591.27</v>
      </c>
      <c r="G605" s="35" t="n">
        <v>1</v>
      </c>
      <c r="H605" s="36" t="n">
        <v>175</v>
      </c>
    </row>
    <row r="606" s="37" customFormat="true" ht="13.8" hidden="false" customHeight="false" outlineLevel="0" collapsed="false">
      <c r="A606" s="31" t="n">
        <v>692</v>
      </c>
      <c r="B606" s="32" t="s">
        <v>396</v>
      </c>
      <c r="C606" s="32" t="str">
        <f aca="false">"0857424"</f>
        <v>0857424</v>
      </c>
      <c r="D606" s="33" t="s">
        <v>482</v>
      </c>
      <c r="E606" s="32" t="n">
        <v>1986</v>
      </c>
      <c r="F606" s="34" t="n">
        <f aca="false">1708.76</f>
        <v>1708.76</v>
      </c>
      <c r="G606" s="35" t="n">
        <v>1</v>
      </c>
      <c r="H606" s="36" t="n">
        <v>85</v>
      </c>
    </row>
    <row r="607" s="37" customFormat="true" ht="13.8" hidden="false" customHeight="false" outlineLevel="0" collapsed="false">
      <c r="A607" s="31" t="n">
        <v>694</v>
      </c>
      <c r="B607" s="32" t="s">
        <v>396</v>
      </c>
      <c r="C607" s="32" t="str">
        <f aca="false">"0857459"</f>
        <v>0857459</v>
      </c>
      <c r="D607" s="33" t="s">
        <v>483</v>
      </c>
      <c r="E607" s="32" t="n">
        <v>1986</v>
      </c>
      <c r="F607" s="34" t="n">
        <f aca="false">10240.7*1.2</f>
        <v>12288.84</v>
      </c>
      <c r="G607" s="35" t="n">
        <v>1</v>
      </c>
      <c r="H607" s="36" t="n">
        <v>600</v>
      </c>
    </row>
    <row r="608" s="37" customFormat="true" ht="13.8" hidden="false" customHeight="false" outlineLevel="0" collapsed="false">
      <c r="A608" s="25" t="n">
        <v>695</v>
      </c>
      <c r="B608" s="32" t="s">
        <v>396</v>
      </c>
      <c r="C608" s="32" t="str">
        <f aca="false">"0857475"</f>
        <v>0857475</v>
      </c>
      <c r="D608" s="33" t="s">
        <v>484</v>
      </c>
      <c r="E608" s="32" t="n">
        <v>1986</v>
      </c>
      <c r="F608" s="34" t="n">
        <f aca="false">1281727.92*1.2</f>
        <v>1538073.504</v>
      </c>
      <c r="G608" s="35" t="n">
        <v>1</v>
      </c>
      <c r="H608" s="38" t="s">
        <v>160</v>
      </c>
    </row>
    <row r="609" s="37" customFormat="true" ht="13.8" hidden="false" customHeight="false" outlineLevel="0" collapsed="false">
      <c r="A609" s="31" t="n">
        <v>696</v>
      </c>
      <c r="B609" s="32" t="s">
        <v>396</v>
      </c>
      <c r="C609" s="32" t="str">
        <f aca="false">"0857513"</f>
        <v>0857513</v>
      </c>
      <c r="D609" s="33" t="s">
        <v>485</v>
      </c>
      <c r="E609" s="32" t="n">
        <v>1987</v>
      </c>
      <c r="F609" s="34" t="n">
        <f aca="false">110510.71*1.2</f>
        <v>132612.852</v>
      </c>
      <c r="G609" s="35" t="n">
        <v>1</v>
      </c>
      <c r="H609" s="36" t="n">
        <v>6580</v>
      </c>
    </row>
    <row r="610" s="37" customFormat="true" ht="13.8" hidden="false" customHeight="false" outlineLevel="0" collapsed="false">
      <c r="A610" s="25" t="n">
        <v>697</v>
      </c>
      <c r="B610" s="32" t="s">
        <v>396</v>
      </c>
      <c r="C610" s="32" t="str">
        <f aca="false">"0857521"</f>
        <v>0857521</v>
      </c>
      <c r="D610" s="33" t="s">
        <v>486</v>
      </c>
      <c r="E610" s="32" t="n">
        <v>1987</v>
      </c>
      <c r="F610" s="34" t="n">
        <f aca="false">1716421.68*1.2</f>
        <v>2059706.016</v>
      </c>
      <c r="G610" s="35" t="n">
        <v>1</v>
      </c>
      <c r="H610" s="36" t="n">
        <v>102160</v>
      </c>
    </row>
    <row r="611" s="37" customFormat="true" ht="13.8" hidden="false" customHeight="false" outlineLevel="0" collapsed="false">
      <c r="A611" s="31" t="n">
        <v>698</v>
      </c>
      <c r="B611" s="32" t="s">
        <v>396</v>
      </c>
      <c r="C611" s="32" t="str">
        <f aca="false">"0857530"</f>
        <v>0857530</v>
      </c>
      <c r="D611" s="33" t="s">
        <v>487</v>
      </c>
      <c r="E611" s="32" t="n">
        <v>1986</v>
      </c>
      <c r="F611" s="34" t="n">
        <f aca="false">7923847.42*1.2</f>
        <v>9508616.904</v>
      </c>
      <c r="G611" s="35" t="n">
        <v>1</v>
      </c>
      <c r="H611" s="36" t="n">
        <v>462500</v>
      </c>
    </row>
    <row r="612" s="37" customFormat="true" ht="13.8" hidden="false" customHeight="false" outlineLevel="0" collapsed="false">
      <c r="A612" s="25" t="n">
        <v>699</v>
      </c>
      <c r="B612" s="32" t="s">
        <v>396</v>
      </c>
      <c r="C612" s="32" t="str">
        <f aca="false">"0857572"</f>
        <v>0857572</v>
      </c>
      <c r="D612" s="33" t="s">
        <v>488</v>
      </c>
      <c r="E612" s="32" t="n">
        <v>1989</v>
      </c>
      <c r="F612" s="34" t="n">
        <f aca="false">428137.93*1.2</f>
        <v>513765.516</v>
      </c>
      <c r="G612" s="35" t="n">
        <v>1</v>
      </c>
      <c r="H612" s="38" t="s">
        <v>160</v>
      </c>
    </row>
    <row r="613" s="37" customFormat="true" ht="13.8" hidden="false" customHeight="false" outlineLevel="0" collapsed="false">
      <c r="A613" s="31" t="n">
        <v>700</v>
      </c>
      <c r="B613" s="32" t="s">
        <v>396</v>
      </c>
      <c r="C613" s="32" t="str">
        <f aca="false">"0857645"</f>
        <v>0857645</v>
      </c>
      <c r="D613" s="33" t="s">
        <v>489</v>
      </c>
      <c r="E613" s="32" t="n">
        <v>1989</v>
      </c>
      <c r="F613" s="34" t="n">
        <f aca="false">95135.6</f>
        <v>95135.6</v>
      </c>
      <c r="G613" s="35" t="n">
        <v>1</v>
      </c>
      <c r="H613" s="36" t="n">
        <v>4720</v>
      </c>
    </row>
    <row r="614" s="37" customFormat="true" ht="13.8" hidden="false" customHeight="false" outlineLevel="0" collapsed="false">
      <c r="A614" s="25" t="n">
        <v>701</v>
      </c>
      <c r="B614" s="32" t="s">
        <v>396</v>
      </c>
      <c r="C614" s="32" t="str">
        <f aca="false">"0857661"</f>
        <v>0857661</v>
      </c>
      <c r="D614" s="33" t="s">
        <v>490</v>
      </c>
      <c r="E614" s="32" t="n">
        <v>1989</v>
      </c>
      <c r="F614" s="34" t="n">
        <f aca="false">372512.06*1.2</f>
        <v>447014.472</v>
      </c>
      <c r="G614" s="35" t="n">
        <v>1</v>
      </c>
      <c r="H614" s="36" t="n">
        <v>23000</v>
      </c>
    </row>
    <row r="615" s="37" customFormat="true" ht="13.8" hidden="false" customHeight="false" outlineLevel="0" collapsed="false">
      <c r="A615" s="31" t="n">
        <v>702</v>
      </c>
      <c r="B615" s="32" t="s">
        <v>396</v>
      </c>
      <c r="C615" s="32" t="str">
        <f aca="false">"0857670"</f>
        <v>0857670</v>
      </c>
      <c r="D615" s="33" t="s">
        <v>491</v>
      </c>
      <c r="E615" s="32" t="n">
        <v>1989</v>
      </c>
      <c r="F615" s="34" t="n">
        <f aca="false">3563.14</f>
        <v>3563.14</v>
      </c>
      <c r="G615" s="35" t="n">
        <v>1</v>
      </c>
      <c r="H615" s="36" t="n">
        <v>180</v>
      </c>
    </row>
    <row r="616" s="37" customFormat="true" ht="13.8" hidden="false" customHeight="false" outlineLevel="0" collapsed="false">
      <c r="A616" s="25" t="n">
        <v>703</v>
      </c>
      <c r="B616" s="32" t="s">
        <v>396</v>
      </c>
      <c r="C616" s="32" t="str">
        <f aca="false">"0857688"</f>
        <v>0857688</v>
      </c>
      <c r="D616" s="33" t="s">
        <v>492</v>
      </c>
      <c r="E616" s="32" t="n">
        <v>1989</v>
      </c>
      <c r="F616" s="34" t="n">
        <f aca="false">3935.27</f>
        <v>3935.27</v>
      </c>
      <c r="G616" s="35" t="n">
        <v>1</v>
      </c>
      <c r="H616" s="36" t="n">
        <v>200</v>
      </c>
    </row>
    <row r="617" s="37" customFormat="true" ht="13.8" hidden="false" customHeight="false" outlineLevel="0" collapsed="false">
      <c r="A617" s="31" t="n">
        <v>704</v>
      </c>
      <c r="B617" s="32" t="s">
        <v>396</v>
      </c>
      <c r="C617" s="32" t="str">
        <f aca="false">"0857696"</f>
        <v>0857696</v>
      </c>
      <c r="D617" s="33" t="s">
        <v>493</v>
      </c>
      <c r="E617" s="32" t="n">
        <v>1990</v>
      </c>
      <c r="F617" s="34" t="n">
        <f aca="false">1741535.56*1.1</f>
        <v>1915689.116</v>
      </c>
      <c r="G617" s="35" t="n">
        <v>1</v>
      </c>
      <c r="H617" s="36" t="n">
        <v>100540</v>
      </c>
    </row>
    <row r="618" s="37" customFormat="true" ht="13.8" hidden="false" customHeight="false" outlineLevel="0" collapsed="false">
      <c r="A618" s="31" t="n">
        <v>706</v>
      </c>
      <c r="B618" s="32" t="s">
        <v>396</v>
      </c>
      <c r="C618" s="32" t="str">
        <f aca="false">"0863181"</f>
        <v>0863181</v>
      </c>
      <c r="D618" s="33" t="s">
        <v>494</v>
      </c>
      <c r="E618" s="32" t="n">
        <v>1977</v>
      </c>
      <c r="F618" s="34" t="n">
        <f aca="false">20371.69</f>
        <v>20371.69</v>
      </c>
      <c r="G618" s="35" t="n">
        <v>2</v>
      </c>
      <c r="H618" s="36" t="n">
        <v>1630</v>
      </c>
    </row>
    <row r="619" s="37" customFormat="true" ht="13.8" hidden="false" customHeight="false" outlineLevel="0" collapsed="false">
      <c r="A619" s="25" t="n">
        <v>707</v>
      </c>
      <c r="B619" s="32" t="s">
        <v>396</v>
      </c>
      <c r="C619" s="32" t="str">
        <f aca="false">"0863203"</f>
        <v>0863203</v>
      </c>
      <c r="D619" s="33" t="s">
        <v>495</v>
      </c>
      <c r="E619" s="32" t="n">
        <v>1977</v>
      </c>
      <c r="F619" s="34" t="n">
        <f aca="false">11533.93</f>
        <v>11533.93</v>
      </c>
      <c r="G619" s="35" t="n">
        <v>2</v>
      </c>
      <c r="H619" s="38" t="s">
        <v>160</v>
      </c>
    </row>
    <row r="620" s="37" customFormat="true" ht="13.8" hidden="false" customHeight="false" outlineLevel="0" collapsed="false">
      <c r="A620" s="31" t="n">
        <v>708</v>
      </c>
      <c r="B620" s="32" t="s">
        <v>396</v>
      </c>
      <c r="C620" s="32" t="str">
        <f aca="false">"0863220"</f>
        <v>0863220</v>
      </c>
      <c r="D620" s="33" t="s">
        <v>496</v>
      </c>
      <c r="E620" s="32" t="n">
        <v>1977</v>
      </c>
      <c r="F620" s="34" t="n">
        <f aca="false">8019.26</f>
        <v>8019.26</v>
      </c>
      <c r="G620" s="35" t="n">
        <v>1</v>
      </c>
      <c r="H620" s="38" t="s">
        <v>160</v>
      </c>
    </row>
    <row r="621" s="37" customFormat="true" ht="13.8" hidden="false" customHeight="false" outlineLevel="0" collapsed="false">
      <c r="A621" s="31" t="n">
        <v>710</v>
      </c>
      <c r="B621" s="32" t="s">
        <v>396</v>
      </c>
      <c r="C621" s="32" t="str">
        <f aca="false">"0857726"</f>
        <v>0857726</v>
      </c>
      <c r="D621" s="33" t="s">
        <v>497</v>
      </c>
      <c r="E621" s="32" t="n">
        <v>1990</v>
      </c>
      <c r="F621" s="34" t="n">
        <f aca="false">457545.68*1.1</f>
        <v>503300.248</v>
      </c>
      <c r="G621" s="35" t="n">
        <v>1</v>
      </c>
      <c r="H621" s="38" t="s">
        <v>160</v>
      </c>
    </row>
    <row r="622" s="37" customFormat="true" ht="13.8" hidden="false" customHeight="false" outlineLevel="0" collapsed="false">
      <c r="A622" s="25" t="n">
        <v>711</v>
      </c>
      <c r="B622" s="32" t="s">
        <v>396</v>
      </c>
      <c r="C622" s="32" t="str">
        <f aca="false">"0857742"</f>
        <v>0857742</v>
      </c>
      <c r="D622" s="33" t="s">
        <v>498</v>
      </c>
      <c r="E622" s="32" t="n">
        <v>1990</v>
      </c>
      <c r="F622" s="34" t="n">
        <f aca="false">1038633.21*1.1</f>
        <v>1142496.531</v>
      </c>
      <c r="G622" s="35" t="n">
        <v>1</v>
      </c>
      <c r="H622" s="36" t="n">
        <v>59960</v>
      </c>
    </row>
    <row r="623" s="37" customFormat="true" ht="13.8" hidden="false" customHeight="false" outlineLevel="0" collapsed="false">
      <c r="A623" s="25" t="n">
        <v>713</v>
      </c>
      <c r="B623" s="32" t="s">
        <v>396</v>
      </c>
      <c r="C623" s="32" t="str">
        <f aca="false">"0857831"</f>
        <v>0857831</v>
      </c>
      <c r="D623" s="33" t="s">
        <v>499</v>
      </c>
      <c r="E623" s="32" t="n">
        <v>1991</v>
      </c>
      <c r="F623" s="34" t="n">
        <f aca="false">767829.59*1.1</f>
        <v>844612.549</v>
      </c>
      <c r="G623" s="35" t="n">
        <v>1</v>
      </c>
      <c r="H623" s="36" t="n">
        <v>45140</v>
      </c>
    </row>
    <row r="624" s="37" customFormat="true" ht="13.8" hidden="false" customHeight="false" outlineLevel="0" collapsed="false">
      <c r="A624" s="25" t="n">
        <v>715</v>
      </c>
      <c r="B624" s="32" t="s">
        <v>396</v>
      </c>
      <c r="C624" s="32" t="str">
        <f aca="false">"0858641"</f>
        <v>0858641</v>
      </c>
      <c r="D624" s="33" t="s">
        <v>500</v>
      </c>
      <c r="E624" s="32" t="n">
        <v>2000</v>
      </c>
      <c r="F624" s="34" t="n">
        <v>2000</v>
      </c>
      <c r="G624" s="35" t="n">
        <v>1</v>
      </c>
      <c r="H624" s="36" t="n">
        <v>120</v>
      </c>
    </row>
    <row r="625" s="37" customFormat="true" ht="13.8" hidden="false" customHeight="false" outlineLevel="0" collapsed="false">
      <c r="A625" s="31" t="n">
        <v>716</v>
      </c>
      <c r="B625" s="32" t="s">
        <v>396</v>
      </c>
      <c r="C625" s="32" t="str">
        <f aca="false">"0858668"</f>
        <v>0858668</v>
      </c>
      <c r="D625" s="33" t="s">
        <v>501</v>
      </c>
      <c r="E625" s="32" t="n">
        <v>2000</v>
      </c>
      <c r="F625" s="34" t="n">
        <v>3000</v>
      </c>
      <c r="G625" s="35" t="n">
        <v>1</v>
      </c>
      <c r="H625" s="36" t="n">
        <v>180</v>
      </c>
    </row>
    <row r="626" s="37" customFormat="true" ht="13.8" hidden="false" customHeight="false" outlineLevel="0" collapsed="false">
      <c r="A626" s="25" t="n">
        <v>717</v>
      </c>
      <c r="B626" s="32" t="s">
        <v>396</v>
      </c>
      <c r="C626" s="32" t="str">
        <f aca="false">"0858676"</f>
        <v>0858676</v>
      </c>
      <c r="D626" s="33" t="s">
        <v>502</v>
      </c>
      <c r="E626" s="32" t="n">
        <v>2001</v>
      </c>
      <c r="F626" s="34" t="n">
        <v>40986.55</v>
      </c>
      <c r="G626" s="35" t="n">
        <v>1</v>
      </c>
      <c r="H626" s="36" t="n">
        <v>2550</v>
      </c>
    </row>
    <row r="627" s="37" customFormat="true" ht="13.8" hidden="false" customHeight="false" outlineLevel="0" collapsed="false">
      <c r="A627" s="31" t="n">
        <v>718</v>
      </c>
      <c r="B627" s="32" t="s">
        <v>396</v>
      </c>
      <c r="C627" s="32" t="str">
        <f aca="false">"0858722"</f>
        <v>0858722</v>
      </c>
      <c r="D627" s="33" t="s">
        <v>503</v>
      </c>
      <c r="E627" s="32" t="n">
        <v>2001</v>
      </c>
      <c r="F627" s="34" t="n">
        <v>1100</v>
      </c>
      <c r="G627" s="35" t="n">
        <v>1</v>
      </c>
      <c r="H627" s="36" t="n">
        <v>70</v>
      </c>
    </row>
    <row r="628" s="37" customFormat="true" ht="13.8" hidden="false" customHeight="false" outlineLevel="0" collapsed="false">
      <c r="A628" s="31" t="n">
        <v>720</v>
      </c>
      <c r="B628" s="32" t="s">
        <v>396</v>
      </c>
      <c r="C628" s="32" t="str">
        <f aca="false">"0858803"</f>
        <v>0858803</v>
      </c>
      <c r="D628" s="33" t="s">
        <v>504</v>
      </c>
      <c r="E628" s="32" t="n">
        <v>2002</v>
      </c>
      <c r="F628" s="34" t="n">
        <v>15536</v>
      </c>
      <c r="G628" s="35" t="n">
        <v>1</v>
      </c>
      <c r="H628" s="36" t="n">
        <v>1000</v>
      </c>
    </row>
    <row r="629" s="37" customFormat="true" ht="13.8" hidden="false" customHeight="false" outlineLevel="0" collapsed="false">
      <c r="A629" s="31" t="n">
        <v>722</v>
      </c>
      <c r="B629" s="32" t="s">
        <v>396</v>
      </c>
      <c r="C629" s="32" t="str">
        <f aca="false">"0859257"</f>
        <v>0859257</v>
      </c>
      <c r="D629" s="33" t="s">
        <v>505</v>
      </c>
      <c r="E629" s="32" t="n">
        <v>2005</v>
      </c>
      <c r="F629" s="34" t="n">
        <v>5995.56</v>
      </c>
      <c r="G629" s="35" t="n">
        <v>1</v>
      </c>
      <c r="H629" s="38" t="s">
        <v>160</v>
      </c>
    </row>
    <row r="630" s="37" customFormat="true" ht="13.8" hidden="false" customHeight="false" outlineLevel="0" collapsed="false">
      <c r="A630" s="25" t="n">
        <v>723</v>
      </c>
      <c r="B630" s="32" t="s">
        <v>396</v>
      </c>
      <c r="C630" s="32" t="str">
        <f aca="false">"0859338"</f>
        <v>0859338</v>
      </c>
      <c r="D630" s="33" t="s">
        <v>184</v>
      </c>
      <c r="E630" s="32" t="n">
        <v>2005</v>
      </c>
      <c r="F630" s="34" t="n">
        <v>5015.71</v>
      </c>
      <c r="G630" s="35" t="n">
        <v>4</v>
      </c>
      <c r="H630" s="36" t="n">
        <v>1280</v>
      </c>
    </row>
    <row r="631" s="37" customFormat="true" ht="13.8" hidden="false" customHeight="false" outlineLevel="0" collapsed="false">
      <c r="A631" s="31" t="n">
        <v>724</v>
      </c>
      <c r="B631" s="32" t="s">
        <v>396</v>
      </c>
      <c r="C631" s="32" t="str">
        <f aca="false">"0859370"</f>
        <v>0859370</v>
      </c>
      <c r="D631" s="33" t="s">
        <v>506</v>
      </c>
      <c r="E631" s="32" t="n">
        <v>2005</v>
      </c>
      <c r="F631" s="34" t="n">
        <v>4745.74</v>
      </c>
      <c r="G631" s="35" t="n">
        <v>2</v>
      </c>
      <c r="H631" s="36" t="n">
        <v>600</v>
      </c>
    </row>
    <row r="632" s="37" customFormat="true" ht="13.8" hidden="false" customHeight="false" outlineLevel="0" collapsed="false">
      <c r="A632" s="31" t="n">
        <v>726</v>
      </c>
      <c r="B632" s="32" t="s">
        <v>396</v>
      </c>
      <c r="C632" s="32" t="str">
        <f aca="false">"0859460"</f>
        <v>0859460</v>
      </c>
      <c r="D632" s="33" t="s">
        <v>507</v>
      </c>
      <c r="E632" s="32" t="n">
        <v>2006</v>
      </c>
      <c r="F632" s="34" t="n">
        <v>27600</v>
      </c>
      <c r="G632" s="35" t="n">
        <v>1</v>
      </c>
      <c r="H632" s="36" t="n">
        <v>2300</v>
      </c>
    </row>
    <row r="633" s="37" customFormat="true" ht="13.8" hidden="false" customHeight="false" outlineLevel="0" collapsed="false">
      <c r="A633" s="25" t="n">
        <v>727</v>
      </c>
      <c r="B633" s="32" t="s">
        <v>396</v>
      </c>
      <c r="C633" s="32" t="str">
        <f aca="false">"0859710"</f>
        <v>0859710</v>
      </c>
      <c r="D633" s="33" t="s">
        <v>508</v>
      </c>
      <c r="E633" s="32" t="n">
        <v>2006</v>
      </c>
      <c r="F633" s="34" t="n">
        <v>62251.4</v>
      </c>
      <c r="G633" s="35" t="n">
        <v>1</v>
      </c>
      <c r="H633" s="36" t="n">
        <v>6400</v>
      </c>
    </row>
    <row r="634" s="37" customFormat="true" ht="13.8" hidden="false" customHeight="false" outlineLevel="0" collapsed="false">
      <c r="A634" s="31" t="n">
        <v>728</v>
      </c>
      <c r="B634" s="32" t="s">
        <v>396</v>
      </c>
      <c r="C634" s="32" t="str">
        <f aca="false">"0859729"</f>
        <v>0859729</v>
      </c>
      <c r="D634" s="33" t="s">
        <v>509</v>
      </c>
      <c r="E634" s="32" t="n">
        <v>2007</v>
      </c>
      <c r="F634" s="34" t="n">
        <v>11480</v>
      </c>
      <c r="G634" s="35" t="n">
        <v>1</v>
      </c>
      <c r="H634" s="36" t="n">
        <v>1100</v>
      </c>
    </row>
    <row r="635" s="37" customFormat="true" ht="13.8" hidden="false" customHeight="false" outlineLevel="0" collapsed="false">
      <c r="A635" s="25" t="n">
        <v>729</v>
      </c>
      <c r="B635" s="32" t="s">
        <v>396</v>
      </c>
      <c r="C635" s="32" t="str">
        <f aca="false">"0859826"</f>
        <v>0859826</v>
      </c>
      <c r="D635" s="33" t="s">
        <v>510</v>
      </c>
      <c r="E635" s="32" t="n">
        <v>2008</v>
      </c>
      <c r="F635" s="34" t="n">
        <v>291337.14</v>
      </c>
      <c r="G635" s="35" t="n">
        <v>1</v>
      </c>
      <c r="H635" s="36" t="n">
        <v>35500</v>
      </c>
    </row>
    <row r="636" s="37" customFormat="true" ht="13.8" hidden="false" customHeight="false" outlineLevel="0" collapsed="false">
      <c r="A636" s="31" t="n">
        <v>730</v>
      </c>
      <c r="B636" s="32" t="s">
        <v>396</v>
      </c>
      <c r="C636" s="32" t="str">
        <f aca="false">"0870960"</f>
        <v>0870960</v>
      </c>
      <c r="D636" s="33" t="s">
        <v>29</v>
      </c>
      <c r="E636" s="32" t="n">
        <v>1986</v>
      </c>
      <c r="F636" s="34" t="n">
        <v>170.85</v>
      </c>
      <c r="G636" s="35" t="n">
        <v>1</v>
      </c>
      <c r="H636" s="36" t="n">
        <v>10</v>
      </c>
    </row>
    <row r="637" s="37" customFormat="true" ht="13.8" hidden="false" customHeight="false" outlineLevel="0" collapsed="false">
      <c r="A637" s="31" t="n">
        <v>732</v>
      </c>
      <c r="B637" s="32" t="s">
        <v>396</v>
      </c>
      <c r="C637" s="32" t="str">
        <f aca="false">"0860409"</f>
        <v>0860409</v>
      </c>
      <c r="D637" s="33" t="s">
        <v>511</v>
      </c>
      <c r="E637" s="32" t="n">
        <v>2010</v>
      </c>
      <c r="F637" s="34" t="n">
        <v>159295.1</v>
      </c>
      <c r="G637" s="35" t="n">
        <v>1</v>
      </c>
      <c r="H637" s="36" t="n">
        <v>19500</v>
      </c>
    </row>
    <row r="638" s="37" customFormat="true" ht="13.8" hidden="false" customHeight="false" outlineLevel="0" collapsed="false">
      <c r="A638" s="25" t="n">
        <v>733</v>
      </c>
      <c r="B638" s="32" t="s">
        <v>396</v>
      </c>
      <c r="C638" s="32" t="str">
        <f aca="false">"0860425"</f>
        <v>0860425</v>
      </c>
      <c r="D638" s="33" t="s">
        <v>512</v>
      </c>
      <c r="E638" s="32" t="n">
        <v>2013</v>
      </c>
      <c r="F638" s="34" t="n">
        <v>424721.88</v>
      </c>
      <c r="G638" s="35" t="n">
        <v>1</v>
      </c>
      <c r="H638" s="36" t="n">
        <v>121000</v>
      </c>
    </row>
    <row r="639" s="37" customFormat="true" ht="13.8" hidden="false" customHeight="false" outlineLevel="0" collapsed="false">
      <c r="A639" s="31" t="n">
        <v>734</v>
      </c>
      <c r="B639" s="32" t="s">
        <v>396</v>
      </c>
      <c r="C639" s="32" t="str">
        <f aca="false">"0860433"</f>
        <v>0860433</v>
      </c>
      <c r="D639" s="33" t="s">
        <v>513</v>
      </c>
      <c r="E639" s="32" t="n">
        <v>2013</v>
      </c>
      <c r="F639" s="34" t="n">
        <v>291866</v>
      </c>
      <c r="G639" s="35" t="n">
        <v>1</v>
      </c>
      <c r="H639" s="36" t="n">
        <v>83200</v>
      </c>
    </row>
    <row r="640" s="37" customFormat="true" ht="13.8" hidden="false" customHeight="false" outlineLevel="0" collapsed="false">
      <c r="A640" s="25" t="n">
        <v>735</v>
      </c>
      <c r="B640" s="32" t="s">
        <v>396</v>
      </c>
      <c r="C640" s="32" t="str">
        <f aca="false">"0860549"</f>
        <v>0860549</v>
      </c>
      <c r="D640" s="33" t="s">
        <v>514</v>
      </c>
      <c r="E640" s="32" t="n">
        <v>1959</v>
      </c>
      <c r="F640" s="34" t="n">
        <f aca="false">706093.56*1.35</f>
        <v>953226.306</v>
      </c>
      <c r="G640" s="35" t="n">
        <v>1</v>
      </c>
      <c r="H640" s="36" t="n">
        <v>24500</v>
      </c>
    </row>
    <row r="641" s="37" customFormat="true" ht="13.8" hidden="false" customHeight="false" outlineLevel="0" collapsed="false">
      <c r="A641" s="31" t="n">
        <v>736</v>
      </c>
      <c r="B641" s="32" t="s">
        <v>396</v>
      </c>
      <c r="C641" s="32" t="str">
        <f aca="false">"0860573"</f>
        <v>0860573</v>
      </c>
      <c r="D641" s="33" t="s">
        <v>515</v>
      </c>
      <c r="E641" s="32" t="n">
        <v>1962</v>
      </c>
      <c r="F641" s="34" t="n">
        <f aca="false">833749.18*1.3</f>
        <v>1083873.934</v>
      </c>
      <c r="G641" s="35" t="n">
        <v>1</v>
      </c>
      <c r="H641" s="36" t="n">
        <v>30870</v>
      </c>
    </row>
    <row r="642" s="37" customFormat="true" ht="13.8" hidden="false" customHeight="false" outlineLevel="0" collapsed="false">
      <c r="A642" s="25" t="n">
        <v>737</v>
      </c>
      <c r="B642" s="32" t="s">
        <v>396</v>
      </c>
      <c r="C642" s="32" t="str">
        <f aca="false">"0860557"</f>
        <v>0860557</v>
      </c>
      <c r="D642" s="33" t="s">
        <v>516</v>
      </c>
      <c r="E642" s="32" t="n">
        <v>1959</v>
      </c>
      <c r="F642" s="34" t="n">
        <f aca="false">423646.56*1.35</f>
        <v>571922.856</v>
      </c>
      <c r="G642" s="35" t="n">
        <v>1</v>
      </c>
      <c r="H642" s="36" t="n">
        <v>14650</v>
      </c>
    </row>
    <row r="643" s="37" customFormat="true" ht="13.8" hidden="false" customHeight="false" outlineLevel="0" collapsed="false">
      <c r="A643" s="31" t="n">
        <v>738</v>
      </c>
      <c r="B643" s="32" t="s">
        <v>396</v>
      </c>
      <c r="C643" s="32" t="str">
        <f aca="false">"0860565"</f>
        <v>0860565</v>
      </c>
      <c r="D643" s="33" t="s">
        <v>517</v>
      </c>
      <c r="E643" s="32" t="n">
        <v>1960</v>
      </c>
      <c r="F643" s="34" t="n">
        <f aca="false">412477.91*1.35</f>
        <v>556845.1785</v>
      </c>
      <c r="G643" s="35" t="n">
        <v>1</v>
      </c>
      <c r="H643" s="36" t="n">
        <v>14790</v>
      </c>
    </row>
    <row r="644" s="37" customFormat="true" ht="13.8" hidden="false" customHeight="false" outlineLevel="0" collapsed="false">
      <c r="A644" s="25" t="n">
        <v>739</v>
      </c>
      <c r="B644" s="32" t="s">
        <v>396</v>
      </c>
      <c r="C644" s="32" t="str">
        <f aca="false">"0860581"</f>
        <v>0860581</v>
      </c>
      <c r="D644" s="33" t="s">
        <v>518</v>
      </c>
      <c r="E644" s="32" t="n">
        <v>1962</v>
      </c>
      <c r="F644" s="34" t="n">
        <f aca="false">923376.48*1.3</f>
        <v>1200389.424</v>
      </c>
      <c r="G644" s="35" t="n">
        <v>1</v>
      </c>
      <c r="H644" s="36" t="n">
        <v>34200</v>
      </c>
    </row>
    <row r="645" s="37" customFormat="true" ht="13.8" hidden="false" customHeight="false" outlineLevel="0" collapsed="false">
      <c r="A645" s="31" t="n">
        <v>740</v>
      </c>
      <c r="B645" s="32" t="s">
        <v>396</v>
      </c>
      <c r="C645" s="32" t="str">
        <f aca="false">"0860638"</f>
        <v>0860638</v>
      </c>
      <c r="D645" s="33" t="s">
        <v>519</v>
      </c>
      <c r="E645" s="32" t="n">
        <v>1968</v>
      </c>
      <c r="F645" s="34" t="n">
        <f aca="false">478543.04*1.3</f>
        <v>622105.952</v>
      </c>
      <c r="G645" s="35" t="n">
        <v>1</v>
      </c>
      <c r="H645" s="36" t="n">
        <v>21300</v>
      </c>
    </row>
    <row r="646" s="37" customFormat="true" ht="13.8" hidden="false" customHeight="false" outlineLevel="0" collapsed="false">
      <c r="A646" s="25" t="n">
        <v>741</v>
      </c>
      <c r="B646" s="32" t="s">
        <v>396</v>
      </c>
      <c r="C646" s="32" t="str">
        <f aca="false">"0860646"</f>
        <v>0860646</v>
      </c>
      <c r="D646" s="33" t="s">
        <v>520</v>
      </c>
      <c r="E646" s="32" t="n">
        <v>1970</v>
      </c>
      <c r="F646" s="34" t="n">
        <f aca="false">2163357.53*1.3</f>
        <v>2812364.789</v>
      </c>
      <c r="G646" s="35" t="n">
        <v>1</v>
      </c>
      <c r="H646" s="36" t="n">
        <v>104400</v>
      </c>
    </row>
    <row r="647" s="37" customFormat="true" ht="13.8" hidden="false" customHeight="false" outlineLevel="0" collapsed="false">
      <c r="A647" s="31" t="n">
        <v>742</v>
      </c>
      <c r="B647" s="32" t="s">
        <v>396</v>
      </c>
      <c r="C647" s="32" t="str">
        <f aca="false">"0860719"</f>
        <v>0860719</v>
      </c>
      <c r="D647" s="33" t="s">
        <v>521</v>
      </c>
      <c r="E647" s="32" t="n">
        <v>1970</v>
      </c>
      <c r="F647" s="34" t="n">
        <f aca="false">1182749.2*1.3</f>
        <v>1537573.96</v>
      </c>
      <c r="G647" s="35" t="n">
        <v>1</v>
      </c>
      <c r="H647" s="36" t="n">
        <v>55600</v>
      </c>
    </row>
    <row r="648" s="37" customFormat="true" ht="13.8" hidden="false" customHeight="false" outlineLevel="0" collapsed="false">
      <c r="A648" s="25" t="n">
        <v>743</v>
      </c>
      <c r="B648" s="32" t="s">
        <v>396</v>
      </c>
      <c r="C648" s="32" t="str">
        <f aca="false">"0860670"</f>
        <v>0860670</v>
      </c>
      <c r="D648" s="33" t="s">
        <v>522</v>
      </c>
      <c r="E648" s="32" t="n">
        <v>1970</v>
      </c>
      <c r="F648" s="34" t="n">
        <f aca="false">90100*1.3</f>
        <v>117130</v>
      </c>
      <c r="G648" s="35" t="n">
        <v>1</v>
      </c>
      <c r="H648" s="36" t="n">
        <v>4250</v>
      </c>
    </row>
    <row r="649" s="37" customFormat="true" ht="13.8" hidden="false" customHeight="false" outlineLevel="0" collapsed="false">
      <c r="A649" s="31" t="n">
        <v>744</v>
      </c>
      <c r="B649" s="32" t="s">
        <v>396</v>
      </c>
      <c r="C649" s="32" t="str">
        <f aca="false">"0860689"</f>
        <v>0860689</v>
      </c>
      <c r="D649" s="33" t="s">
        <v>523</v>
      </c>
      <c r="E649" s="32" t="n">
        <v>1970</v>
      </c>
      <c r="F649" s="34" t="n">
        <f aca="false">251278.03*1.3</f>
        <v>326661.439</v>
      </c>
      <c r="G649" s="35" t="n">
        <v>1</v>
      </c>
      <c r="H649" s="36" t="n">
        <v>11800</v>
      </c>
    </row>
    <row r="650" s="37" customFormat="true" ht="13.8" hidden="false" customHeight="false" outlineLevel="0" collapsed="false">
      <c r="A650" s="25" t="n">
        <v>745</v>
      </c>
      <c r="B650" s="32" t="s">
        <v>396</v>
      </c>
      <c r="C650" s="32" t="str">
        <f aca="false">"0860697"</f>
        <v>0860697</v>
      </c>
      <c r="D650" s="33" t="s">
        <v>524</v>
      </c>
      <c r="E650" s="32" t="n">
        <v>1970</v>
      </c>
      <c r="F650" s="34" t="n">
        <f aca="false">345921.65*1.3</f>
        <v>449698.145</v>
      </c>
      <c r="G650" s="35" t="n">
        <v>1</v>
      </c>
      <c r="H650" s="36" t="n">
        <v>16300</v>
      </c>
    </row>
    <row r="651" s="37" customFormat="true" ht="13.8" hidden="false" customHeight="false" outlineLevel="0" collapsed="false">
      <c r="A651" s="31" t="n">
        <v>746</v>
      </c>
      <c r="B651" s="32" t="s">
        <v>396</v>
      </c>
      <c r="C651" s="32" t="str">
        <f aca="false">"0861049"</f>
        <v>0861049</v>
      </c>
      <c r="D651" s="33" t="s">
        <v>525</v>
      </c>
      <c r="E651" s="32" t="n">
        <v>1980</v>
      </c>
      <c r="F651" s="34" t="n">
        <f aca="false">583705.3*1.2</f>
        <v>700446.36</v>
      </c>
      <c r="G651" s="35" t="n">
        <v>1</v>
      </c>
      <c r="H651" s="36" t="n">
        <v>32100</v>
      </c>
    </row>
    <row r="652" s="37" customFormat="true" ht="13.8" hidden="false" customHeight="false" outlineLevel="0" collapsed="false">
      <c r="A652" s="25" t="n">
        <v>747</v>
      </c>
      <c r="B652" s="32" t="s">
        <v>396</v>
      </c>
      <c r="C652" s="32" t="str">
        <f aca="false">"0860700"</f>
        <v>0860700</v>
      </c>
      <c r="D652" s="33" t="s">
        <v>526</v>
      </c>
      <c r="E652" s="32" t="n">
        <v>1970</v>
      </c>
      <c r="F652" s="34" t="n">
        <f aca="false">1519375.84*1.3</f>
        <v>1975188.592</v>
      </c>
      <c r="G652" s="35" t="n">
        <v>1</v>
      </c>
      <c r="H652" s="36" t="n">
        <v>71420</v>
      </c>
    </row>
    <row r="653" s="37" customFormat="true" ht="13.8" hidden="false" customHeight="false" outlineLevel="0" collapsed="false">
      <c r="A653" s="31" t="n">
        <v>748</v>
      </c>
      <c r="B653" s="32" t="s">
        <v>396</v>
      </c>
      <c r="C653" s="32" t="str">
        <f aca="false">"0860654"</f>
        <v>0860654</v>
      </c>
      <c r="D653" s="33" t="s">
        <v>527</v>
      </c>
      <c r="E653" s="32" t="n">
        <v>1970</v>
      </c>
      <c r="F653" s="34" t="n">
        <f aca="false">1757064.08*1.3</f>
        <v>2284183.304</v>
      </c>
      <c r="G653" s="35" t="n">
        <v>1</v>
      </c>
      <c r="H653" s="36" t="n">
        <v>82600</v>
      </c>
    </row>
    <row r="654" s="37" customFormat="true" ht="13.8" hidden="false" customHeight="false" outlineLevel="0" collapsed="false">
      <c r="A654" s="25" t="n">
        <v>749</v>
      </c>
      <c r="B654" s="32" t="s">
        <v>396</v>
      </c>
      <c r="C654" s="32" t="str">
        <f aca="false">"0860727"</f>
        <v>0860727</v>
      </c>
      <c r="D654" s="33" t="s">
        <v>528</v>
      </c>
      <c r="E654" s="32" t="n">
        <v>1972</v>
      </c>
      <c r="F654" s="34" t="n">
        <f aca="false">90413.39*1.3</f>
        <v>117537.407</v>
      </c>
      <c r="G654" s="35" t="n">
        <v>1</v>
      </c>
      <c r="H654" s="36" t="n">
        <v>4500</v>
      </c>
    </row>
    <row r="655" s="37" customFormat="true" ht="13.8" hidden="false" customHeight="false" outlineLevel="0" collapsed="false">
      <c r="A655" s="31" t="n">
        <v>750</v>
      </c>
      <c r="B655" s="32" t="s">
        <v>396</v>
      </c>
      <c r="C655" s="32" t="str">
        <f aca="false">"0860735"</f>
        <v>0860735</v>
      </c>
      <c r="D655" s="33" t="s">
        <v>529</v>
      </c>
      <c r="E655" s="32" t="n">
        <v>1975</v>
      </c>
      <c r="F655" s="34" t="n">
        <f aca="false">26614.13*1.3</f>
        <v>34598.369</v>
      </c>
      <c r="G655" s="35" t="n">
        <v>1</v>
      </c>
      <c r="H655" s="36" t="n">
        <v>1450</v>
      </c>
    </row>
    <row r="656" s="37" customFormat="true" ht="13.8" hidden="false" customHeight="false" outlineLevel="0" collapsed="false">
      <c r="A656" s="25" t="n">
        <v>751</v>
      </c>
      <c r="B656" s="32" t="s">
        <v>396</v>
      </c>
      <c r="C656" s="32" t="str">
        <f aca="false">"0860751"</f>
        <v>0860751</v>
      </c>
      <c r="D656" s="33" t="s">
        <v>530</v>
      </c>
      <c r="E656" s="32" t="n">
        <v>1968</v>
      </c>
      <c r="F656" s="34" t="n">
        <f aca="false">246107.56*1.3</f>
        <v>319939.828</v>
      </c>
      <c r="G656" s="35" t="n">
        <v>1</v>
      </c>
      <c r="H656" s="36" t="n">
        <v>10950</v>
      </c>
    </row>
    <row r="657" s="37" customFormat="true" ht="13.8" hidden="false" customHeight="false" outlineLevel="0" collapsed="false">
      <c r="A657" s="31" t="n">
        <v>752</v>
      </c>
      <c r="B657" s="32" t="s">
        <v>396</v>
      </c>
      <c r="C657" s="32" t="str">
        <f aca="false">"0860778"</f>
        <v>0860778</v>
      </c>
      <c r="D657" s="33" t="s">
        <v>531</v>
      </c>
      <c r="E657" s="32" t="n">
        <v>1983</v>
      </c>
      <c r="F657" s="34" t="n">
        <f aca="false">24646.63*1.2</f>
        <v>29575.956</v>
      </c>
      <c r="G657" s="35" t="n">
        <v>1</v>
      </c>
      <c r="H657" s="36" t="n">
        <v>1450</v>
      </c>
    </row>
    <row r="658" s="37" customFormat="true" ht="13.8" hidden="false" customHeight="false" outlineLevel="0" collapsed="false">
      <c r="A658" s="25" t="n">
        <v>753</v>
      </c>
      <c r="B658" s="32" t="s">
        <v>396</v>
      </c>
      <c r="C658" s="32" t="str">
        <f aca="false">"0860867"</f>
        <v>0860867</v>
      </c>
      <c r="D658" s="33" t="s">
        <v>532</v>
      </c>
      <c r="E658" s="32" t="n">
        <v>1986</v>
      </c>
      <c r="F658" s="34" t="n">
        <f aca="false">2441</f>
        <v>2441</v>
      </c>
      <c r="G658" s="35" t="n">
        <v>5</v>
      </c>
      <c r="H658" s="36" t="n">
        <v>600</v>
      </c>
    </row>
    <row r="659" s="37" customFormat="true" ht="13.8" hidden="false" customHeight="false" outlineLevel="0" collapsed="false">
      <c r="A659" s="31" t="n">
        <v>754</v>
      </c>
      <c r="B659" s="32" t="s">
        <v>396</v>
      </c>
      <c r="C659" s="32" t="str">
        <f aca="false">"0860913"</f>
        <v>0860913</v>
      </c>
      <c r="D659" s="33" t="s">
        <v>533</v>
      </c>
      <c r="E659" s="32" t="n">
        <v>1986</v>
      </c>
      <c r="F659" s="34" t="n">
        <f aca="false">2441</f>
        <v>2441</v>
      </c>
      <c r="G659" s="35" t="n">
        <v>2</v>
      </c>
      <c r="H659" s="36" t="n">
        <v>240</v>
      </c>
    </row>
    <row r="660" s="37" customFormat="true" ht="13.8" hidden="false" customHeight="false" outlineLevel="0" collapsed="false">
      <c r="A660" s="25" t="n">
        <v>755</v>
      </c>
      <c r="B660" s="32" t="s">
        <v>396</v>
      </c>
      <c r="C660" s="32" t="str">
        <f aca="false">"0860964"</f>
        <v>0860964</v>
      </c>
      <c r="D660" s="33" t="s">
        <v>534</v>
      </c>
      <c r="E660" s="32" t="n">
        <v>1950</v>
      </c>
      <c r="F660" s="34" t="n">
        <f aca="false">7696.99*1.4</f>
        <v>10775.786</v>
      </c>
      <c r="G660" s="35" t="n">
        <v>1</v>
      </c>
      <c r="H660" s="36" t="n">
        <v>200</v>
      </c>
    </row>
    <row r="661" s="37" customFormat="true" ht="13.8" hidden="false" customHeight="false" outlineLevel="0" collapsed="false">
      <c r="A661" s="31" t="n">
        <v>756</v>
      </c>
      <c r="B661" s="32" t="s">
        <v>396</v>
      </c>
      <c r="C661" s="32" t="str">
        <f aca="false">"0861006"</f>
        <v>0861006</v>
      </c>
      <c r="D661" s="33" t="s">
        <v>535</v>
      </c>
      <c r="E661" s="32" t="n">
        <v>1979</v>
      </c>
      <c r="F661" s="34" t="n">
        <f aca="false">166129.48*1.25</f>
        <v>207661.85</v>
      </c>
      <c r="G661" s="35" t="n">
        <v>1</v>
      </c>
      <c r="H661" s="36" t="n">
        <v>8930</v>
      </c>
    </row>
    <row r="662" s="37" customFormat="true" ht="13.8" hidden="false" customHeight="false" outlineLevel="0" collapsed="false">
      <c r="A662" s="25" t="n">
        <v>757</v>
      </c>
      <c r="B662" s="32" t="s">
        <v>396</v>
      </c>
      <c r="C662" s="32" t="str">
        <f aca="false">"0861014"</f>
        <v>0861014</v>
      </c>
      <c r="D662" s="33" t="s">
        <v>536</v>
      </c>
      <c r="E662" s="32" t="n">
        <v>1979</v>
      </c>
      <c r="F662" s="34" t="n">
        <f aca="false">84651.99*1.25</f>
        <v>105814.9875</v>
      </c>
      <c r="G662" s="35" t="n">
        <v>2</v>
      </c>
      <c r="H662" s="36" t="n">
        <v>9480</v>
      </c>
    </row>
    <row r="663" s="37" customFormat="true" ht="13.8" hidden="false" customHeight="false" outlineLevel="0" collapsed="false">
      <c r="A663" s="31" t="n">
        <v>758</v>
      </c>
      <c r="B663" s="32" t="s">
        <v>396</v>
      </c>
      <c r="C663" s="32" t="str">
        <f aca="false">"0861316"</f>
        <v>0861316</v>
      </c>
      <c r="D663" s="33" t="s">
        <v>471</v>
      </c>
      <c r="E663" s="32" t="n">
        <v>1971</v>
      </c>
      <c r="F663" s="34" t="n">
        <f aca="false">70975.02*1.25</f>
        <v>88718.775</v>
      </c>
      <c r="G663" s="35" t="n">
        <v>1</v>
      </c>
      <c r="H663" s="36" t="n">
        <v>3040</v>
      </c>
    </row>
    <row r="664" s="37" customFormat="true" ht="13.8" hidden="false" customHeight="false" outlineLevel="0" collapsed="false">
      <c r="A664" s="25" t="n">
        <v>759</v>
      </c>
      <c r="B664" s="32" t="s">
        <v>396</v>
      </c>
      <c r="C664" s="32" t="str">
        <f aca="false">"0861383"</f>
        <v>0861383</v>
      </c>
      <c r="D664" s="33" t="s">
        <v>537</v>
      </c>
      <c r="E664" s="32" t="n">
        <v>1968</v>
      </c>
      <c r="F664" s="34" t="n">
        <f aca="false">50917.83*1.25</f>
        <v>63647.2875</v>
      </c>
      <c r="G664" s="35" t="n">
        <v>1</v>
      </c>
      <c r="H664" s="36" t="n">
        <v>2000</v>
      </c>
    </row>
    <row r="665" s="37" customFormat="true" ht="13.8" hidden="false" customHeight="false" outlineLevel="0" collapsed="false">
      <c r="A665" s="31" t="n">
        <v>760</v>
      </c>
      <c r="B665" s="32" t="s">
        <v>396</v>
      </c>
      <c r="C665" s="32" t="str">
        <f aca="false">"0861391"</f>
        <v>0861391</v>
      </c>
      <c r="D665" s="33" t="s">
        <v>538</v>
      </c>
      <c r="E665" s="32" t="n">
        <v>1977</v>
      </c>
      <c r="F665" s="34" t="n">
        <f aca="false">42101.2*1.25</f>
        <v>52626.5</v>
      </c>
      <c r="G665" s="35" t="n">
        <v>1</v>
      </c>
      <c r="H665" s="36" t="n">
        <v>3220</v>
      </c>
    </row>
    <row r="666" s="37" customFormat="true" ht="13.8" hidden="false" customHeight="false" outlineLevel="0" collapsed="false">
      <c r="A666" s="25" t="n">
        <v>761</v>
      </c>
      <c r="B666" s="32" t="s">
        <v>396</v>
      </c>
      <c r="C666" s="32" t="str">
        <f aca="false">"0861405"</f>
        <v>0861405</v>
      </c>
      <c r="D666" s="33" t="s">
        <v>539</v>
      </c>
      <c r="E666" s="32" t="n">
        <v>1977</v>
      </c>
      <c r="F666" s="34" t="n">
        <f aca="false">3614.74*1.25</f>
        <v>4518.425</v>
      </c>
      <c r="G666" s="35" t="n">
        <v>2</v>
      </c>
      <c r="H666" s="36" t="n">
        <v>560</v>
      </c>
    </row>
    <row r="667" s="37" customFormat="true" ht="13.8" hidden="false" customHeight="false" outlineLevel="0" collapsed="false">
      <c r="A667" s="31" t="n">
        <v>762</v>
      </c>
      <c r="B667" s="32" t="s">
        <v>396</v>
      </c>
      <c r="C667" s="32" t="str">
        <f aca="false">"0861421"</f>
        <v>0861421</v>
      </c>
      <c r="D667" s="33" t="s">
        <v>540</v>
      </c>
      <c r="E667" s="32" t="n">
        <v>1987</v>
      </c>
      <c r="F667" s="34" t="n">
        <f aca="false">3855.69*1.25</f>
        <v>4819.6125</v>
      </c>
      <c r="G667" s="35" t="n">
        <v>3</v>
      </c>
      <c r="H667" s="36" t="n">
        <v>720</v>
      </c>
    </row>
    <row r="668" s="37" customFormat="true" ht="13.8" hidden="false" customHeight="false" outlineLevel="0" collapsed="false">
      <c r="A668" s="25" t="n">
        <v>763</v>
      </c>
      <c r="B668" s="32" t="s">
        <v>396</v>
      </c>
      <c r="C668" s="32" t="str">
        <f aca="false">"0861456"</f>
        <v>0861456</v>
      </c>
      <c r="D668" s="33" t="s">
        <v>540</v>
      </c>
      <c r="E668" s="32" t="n">
        <v>1987</v>
      </c>
      <c r="F668" s="34" t="n">
        <f aca="false">1686.82*1.25</f>
        <v>2108.525</v>
      </c>
      <c r="G668" s="35" t="n">
        <v>2</v>
      </c>
      <c r="H668" s="36" t="n">
        <v>200</v>
      </c>
    </row>
    <row r="669" s="37" customFormat="true" ht="13.8" hidden="false" customHeight="false" outlineLevel="0" collapsed="false">
      <c r="A669" s="31" t="n">
        <v>764</v>
      </c>
      <c r="B669" s="32" t="s">
        <v>396</v>
      </c>
      <c r="C669" s="32" t="str">
        <f aca="false">"0861472"</f>
        <v>0861472</v>
      </c>
      <c r="D669" s="33" t="s">
        <v>540</v>
      </c>
      <c r="E669" s="32" t="n">
        <v>1987</v>
      </c>
      <c r="F669" s="34" t="n">
        <f aca="false">2100*1.25</f>
        <v>2625</v>
      </c>
      <c r="G669" s="35" t="n">
        <v>1</v>
      </c>
      <c r="H669" s="36" t="n">
        <v>130</v>
      </c>
    </row>
    <row r="670" s="37" customFormat="true" ht="13.8" hidden="false" customHeight="false" outlineLevel="0" collapsed="false">
      <c r="A670" s="25" t="n">
        <v>765</v>
      </c>
      <c r="B670" s="32" t="s">
        <v>396</v>
      </c>
      <c r="C670" s="32" t="str">
        <f aca="false">"0861480"</f>
        <v>0861480</v>
      </c>
      <c r="D670" s="33" t="s">
        <v>541</v>
      </c>
      <c r="E670" s="32" t="n">
        <v>1987</v>
      </c>
      <c r="F670" s="34" t="n">
        <f aca="false">3614.74*1.25</f>
        <v>4518.425</v>
      </c>
      <c r="G670" s="35" t="n">
        <v>3</v>
      </c>
      <c r="H670" s="36" t="n">
        <v>675</v>
      </c>
    </row>
    <row r="671" s="37" customFormat="true" ht="13.8" hidden="false" customHeight="false" outlineLevel="0" collapsed="false">
      <c r="A671" s="31" t="n">
        <v>766</v>
      </c>
      <c r="B671" s="32" t="s">
        <v>396</v>
      </c>
      <c r="C671" s="32" t="str">
        <f aca="false">"0861510"</f>
        <v>0861510</v>
      </c>
      <c r="D671" s="33" t="s">
        <v>542</v>
      </c>
      <c r="E671" s="32" t="n">
        <v>1987</v>
      </c>
      <c r="F671" s="34" t="n">
        <f aca="false">3614.74*1.25</f>
        <v>4518.425</v>
      </c>
      <c r="G671" s="35" t="n">
        <v>3</v>
      </c>
      <c r="H671" s="36" t="n">
        <v>675</v>
      </c>
    </row>
    <row r="672" s="37" customFormat="true" ht="13.8" hidden="false" customHeight="false" outlineLevel="0" collapsed="false">
      <c r="A672" s="25" t="n">
        <v>767</v>
      </c>
      <c r="B672" s="32" t="s">
        <v>396</v>
      </c>
      <c r="C672" s="32" t="str">
        <f aca="false">"0874884"</f>
        <v>0874884</v>
      </c>
      <c r="D672" s="33" t="s">
        <v>543</v>
      </c>
      <c r="E672" s="32" t="n">
        <v>2006</v>
      </c>
      <c r="F672" s="34" t="n">
        <v>3263.25</v>
      </c>
      <c r="G672" s="35" t="n">
        <v>1</v>
      </c>
      <c r="H672" s="36" t="n">
        <v>280</v>
      </c>
    </row>
    <row r="673" s="37" customFormat="true" ht="13.8" hidden="false" customHeight="false" outlineLevel="0" collapsed="false">
      <c r="A673" s="31" t="n">
        <v>768</v>
      </c>
      <c r="B673" s="32" t="s">
        <v>396</v>
      </c>
      <c r="C673" s="32" t="str">
        <f aca="false">"0875520"</f>
        <v>0875520</v>
      </c>
      <c r="D673" s="33" t="s">
        <v>544</v>
      </c>
      <c r="E673" s="32" t="n">
        <v>2008</v>
      </c>
      <c r="F673" s="34" t="n">
        <v>1111.47</v>
      </c>
      <c r="G673" s="35" t="n">
        <v>1</v>
      </c>
      <c r="H673" s="36" t="n">
        <v>120</v>
      </c>
    </row>
    <row r="674" s="37" customFormat="true" ht="13.8" hidden="false" customHeight="false" outlineLevel="0" collapsed="false">
      <c r="A674" s="25" t="n">
        <v>769</v>
      </c>
      <c r="B674" s="32" t="s">
        <v>396</v>
      </c>
      <c r="C674" s="32" t="s">
        <v>25</v>
      </c>
      <c r="D674" s="33" t="s">
        <v>201</v>
      </c>
      <c r="E674" s="32" t="n">
        <v>2000</v>
      </c>
      <c r="F674" s="34" t="n">
        <v>460</v>
      </c>
      <c r="G674" s="35" t="n">
        <v>5</v>
      </c>
      <c r="H674" s="36" t="n">
        <v>150</v>
      </c>
    </row>
    <row r="675" s="37" customFormat="true" ht="13.8" hidden="false" customHeight="false" outlineLevel="0" collapsed="false">
      <c r="A675" s="31" t="n">
        <v>770</v>
      </c>
      <c r="B675" s="32" t="s">
        <v>396</v>
      </c>
      <c r="C675" s="32" t="s">
        <v>25</v>
      </c>
      <c r="D675" s="33" t="s">
        <v>545</v>
      </c>
      <c r="E675" s="32" t="n">
        <v>2000</v>
      </c>
      <c r="F675" s="34" t="n">
        <v>470</v>
      </c>
      <c r="G675" s="35" t="n">
        <v>4</v>
      </c>
      <c r="H675" s="36" t="n">
        <v>120</v>
      </c>
    </row>
    <row r="676" s="37" customFormat="true" ht="13.8" hidden="false" customHeight="false" outlineLevel="0" collapsed="false">
      <c r="A676" s="25" t="n">
        <v>771</v>
      </c>
      <c r="B676" s="32" t="s">
        <v>396</v>
      </c>
      <c r="C676" s="32" t="s">
        <v>25</v>
      </c>
      <c r="D676" s="33" t="s">
        <v>546</v>
      </c>
      <c r="E676" s="32" t="n">
        <v>2000</v>
      </c>
      <c r="F676" s="34" t="n">
        <v>150</v>
      </c>
      <c r="G676" s="35" t="n">
        <v>1</v>
      </c>
      <c r="H676" s="36" t="n">
        <v>10</v>
      </c>
    </row>
    <row r="677" s="37" customFormat="true" ht="13.8" hidden="false" customHeight="false" outlineLevel="0" collapsed="false">
      <c r="A677" s="31" t="n">
        <v>772</v>
      </c>
      <c r="B677" s="32" t="s">
        <v>396</v>
      </c>
      <c r="C677" s="32" t="s">
        <v>25</v>
      </c>
      <c r="D677" s="33" t="s">
        <v>28</v>
      </c>
      <c r="E677" s="32" t="n">
        <v>2000</v>
      </c>
      <c r="F677" s="34" t="n">
        <v>4160</v>
      </c>
      <c r="G677" s="35" t="n">
        <v>1</v>
      </c>
      <c r="H677" s="36" t="n">
        <v>230</v>
      </c>
    </row>
    <row r="678" s="37" customFormat="true" ht="13.8" hidden="false" customHeight="false" outlineLevel="0" collapsed="false">
      <c r="A678" s="25" t="n">
        <v>773</v>
      </c>
      <c r="B678" s="32" t="s">
        <v>547</v>
      </c>
      <c r="C678" s="32" t="str">
        <f aca="false">"0924644"</f>
        <v>0924644</v>
      </c>
      <c r="D678" s="33" t="s">
        <v>548</v>
      </c>
      <c r="E678" s="32" t="n">
        <v>2017</v>
      </c>
      <c r="F678" s="34" t="n">
        <v>70613.86</v>
      </c>
      <c r="G678" s="35" t="n">
        <v>1</v>
      </c>
      <c r="H678" s="36" t="n">
        <v>40000</v>
      </c>
    </row>
    <row r="679" s="37" customFormat="true" ht="13.8" hidden="false" customHeight="false" outlineLevel="0" collapsed="false">
      <c r="A679" s="31" t="n">
        <v>774</v>
      </c>
      <c r="B679" s="32" t="s">
        <v>547</v>
      </c>
      <c r="C679" s="32" t="str">
        <f aca="false">"0924652"</f>
        <v>0924652</v>
      </c>
      <c r="D679" s="33" t="s">
        <v>549</v>
      </c>
      <c r="E679" s="32" t="n">
        <v>2017</v>
      </c>
      <c r="F679" s="34" t="n">
        <v>8615.3</v>
      </c>
      <c r="G679" s="35" t="n">
        <v>1</v>
      </c>
      <c r="H679" s="36" t="n">
        <v>4700</v>
      </c>
    </row>
    <row r="680" s="37" customFormat="true" ht="13.8" hidden="false" customHeight="false" outlineLevel="0" collapsed="false">
      <c r="A680" s="25" t="n">
        <v>775</v>
      </c>
      <c r="B680" s="32" t="s">
        <v>547</v>
      </c>
      <c r="C680" s="32" t="str">
        <f aca="false">"0927155"</f>
        <v>0927155</v>
      </c>
      <c r="D680" s="33" t="s">
        <v>550</v>
      </c>
      <c r="E680" s="32" t="n">
        <v>2018</v>
      </c>
      <c r="F680" s="34" t="n">
        <v>868</v>
      </c>
      <c r="G680" s="35" t="n">
        <v>1</v>
      </c>
      <c r="H680" s="36" t="n">
        <v>570</v>
      </c>
    </row>
    <row r="681" s="37" customFormat="true" ht="13.8" hidden="false" customHeight="false" outlineLevel="0" collapsed="false">
      <c r="A681" s="31" t="n">
        <v>776</v>
      </c>
      <c r="B681" s="32" t="s">
        <v>547</v>
      </c>
      <c r="C681" s="32" t="str">
        <f aca="false">"0927163"</f>
        <v>0927163</v>
      </c>
      <c r="D681" s="33" t="s">
        <v>551</v>
      </c>
      <c r="E681" s="32" t="n">
        <v>2018</v>
      </c>
      <c r="F681" s="34" t="n">
        <v>1784.11</v>
      </c>
      <c r="G681" s="35" t="n">
        <v>1</v>
      </c>
      <c r="H681" s="36" t="n">
        <v>1150</v>
      </c>
    </row>
    <row r="682" s="37" customFormat="true" ht="13.8" hidden="false" customHeight="false" outlineLevel="0" collapsed="false">
      <c r="A682" s="25" t="n">
        <v>777</v>
      </c>
      <c r="B682" s="32" t="s">
        <v>547</v>
      </c>
      <c r="C682" s="32" t="s">
        <v>25</v>
      </c>
      <c r="D682" s="33" t="s">
        <v>552</v>
      </c>
      <c r="E682" s="32" t="n">
        <v>2013</v>
      </c>
      <c r="F682" s="34" t="n">
        <f aca="false">1660*7.5</f>
        <v>12450</v>
      </c>
      <c r="G682" s="35" t="n">
        <v>1</v>
      </c>
      <c r="H682" s="36" t="n">
        <v>2800</v>
      </c>
    </row>
    <row r="683" s="37" customFormat="true" ht="13.8" hidden="false" customHeight="false" outlineLevel="0" collapsed="false">
      <c r="A683" s="31" t="n">
        <v>778</v>
      </c>
      <c r="B683" s="32" t="s">
        <v>547</v>
      </c>
      <c r="C683" s="32" t="s">
        <v>25</v>
      </c>
      <c r="D683" s="33" t="s">
        <v>553</v>
      </c>
      <c r="E683" s="32" t="n">
        <v>2013</v>
      </c>
      <c r="F683" s="34" t="n">
        <f aca="false">770*7.5</f>
        <v>5775</v>
      </c>
      <c r="G683" s="35" t="n">
        <v>1</v>
      </c>
      <c r="H683" s="36" t="n">
        <v>1300</v>
      </c>
    </row>
    <row r="684" s="37" customFormat="true" ht="13.8" hidden="false" customHeight="false" outlineLevel="0" collapsed="false">
      <c r="A684" s="25" t="n">
        <v>779</v>
      </c>
      <c r="B684" s="32" t="s">
        <v>547</v>
      </c>
      <c r="C684" s="32" t="s">
        <v>25</v>
      </c>
      <c r="D684" s="33" t="s">
        <v>554</v>
      </c>
      <c r="E684" s="32" t="n">
        <v>2013</v>
      </c>
      <c r="F684" s="34" t="n">
        <v>22500</v>
      </c>
      <c r="G684" s="35" t="n">
        <v>1</v>
      </c>
      <c r="H684" s="36" t="n">
        <v>6420</v>
      </c>
    </row>
    <row r="685" s="37" customFormat="true" ht="13.8" hidden="false" customHeight="false" outlineLevel="0" collapsed="false">
      <c r="A685" s="31" t="n">
        <v>780</v>
      </c>
      <c r="B685" s="32" t="s">
        <v>547</v>
      </c>
      <c r="C685" s="32" t="s">
        <v>25</v>
      </c>
      <c r="D685" s="33" t="s">
        <v>555</v>
      </c>
      <c r="E685" s="32" t="n">
        <v>2013</v>
      </c>
      <c r="F685" s="34" t="n">
        <v>25300</v>
      </c>
      <c r="G685" s="35" t="n">
        <v>1</v>
      </c>
      <c r="H685" s="36" t="n">
        <v>7220</v>
      </c>
    </row>
    <row r="686" s="37" customFormat="true" ht="13.8" hidden="false" customHeight="false" outlineLevel="0" collapsed="false">
      <c r="A686" s="25" t="n">
        <v>781</v>
      </c>
      <c r="B686" s="32" t="s">
        <v>547</v>
      </c>
      <c r="C686" s="32" t="s">
        <v>25</v>
      </c>
      <c r="D686" s="33" t="s">
        <v>556</v>
      </c>
      <c r="E686" s="32" t="n">
        <v>2013</v>
      </c>
      <c r="F686" s="34" t="n">
        <v>22000</v>
      </c>
      <c r="G686" s="35" t="n">
        <v>1</v>
      </c>
      <c r="H686" s="36" t="n">
        <v>6300</v>
      </c>
    </row>
    <row r="687" s="37" customFormat="true" ht="13.8" hidden="false" customHeight="false" outlineLevel="0" collapsed="false">
      <c r="A687" s="31" t="n">
        <v>782</v>
      </c>
      <c r="B687" s="32" t="s">
        <v>547</v>
      </c>
      <c r="C687" s="32" t="s">
        <v>25</v>
      </c>
      <c r="D687" s="33" t="s">
        <v>557</v>
      </c>
      <c r="E687" s="32" t="n">
        <v>1986</v>
      </c>
      <c r="F687" s="34" t="n">
        <f aca="false">7923000*1.2</f>
        <v>9507600</v>
      </c>
      <c r="G687" s="35" t="n">
        <v>1</v>
      </c>
      <c r="H687" s="36" t="n">
        <v>462450</v>
      </c>
    </row>
    <row r="688" s="37" customFormat="true" ht="13.8" hidden="false" customHeight="false" outlineLevel="0" collapsed="false">
      <c r="A688" s="25" t="n">
        <v>783</v>
      </c>
      <c r="B688" s="32" t="s">
        <v>547</v>
      </c>
      <c r="C688" s="32" t="s">
        <v>25</v>
      </c>
      <c r="D688" s="33" t="s">
        <v>558</v>
      </c>
      <c r="E688" s="32" t="n">
        <v>1986</v>
      </c>
      <c r="F688" s="34" t="n">
        <f aca="false">2450*1.2</f>
        <v>2940</v>
      </c>
      <c r="G688" s="35" t="n">
        <v>1</v>
      </c>
      <c r="H688" s="36" t="n">
        <v>100</v>
      </c>
    </row>
    <row r="689" s="37" customFormat="true" ht="13.8" hidden="false" customHeight="false" outlineLevel="0" collapsed="false">
      <c r="A689" s="31" t="n">
        <v>784</v>
      </c>
      <c r="B689" s="32" t="s">
        <v>547</v>
      </c>
      <c r="C689" s="32" t="s">
        <v>25</v>
      </c>
      <c r="D689" s="33" t="s">
        <v>559</v>
      </c>
      <c r="E689" s="32" t="n">
        <v>1986</v>
      </c>
      <c r="F689" s="34" t="n">
        <f aca="false">25000*7.5</f>
        <v>187500</v>
      </c>
      <c r="G689" s="35" t="n">
        <v>1</v>
      </c>
      <c r="H689" s="36" t="n">
        <v>9200</v>
      </c>
    </row>
    <row r="690" s="37" customFormat="true" ht="13.8" hidden="false" customHeight="false" outlineLevel="0" collapsed="false">
      <c r="A690" s="31" t="n">
        <v>786</v>
      </c>
      <c r="B690" s="32" t="s">
        <v>547</v>
      </c>
      <c r="C690" s="32" t="s">
        <v>25</v>
      </c>
      <c r="D690" s="33" t="s">
        <v>560</v>
      </c>
      <c r="E690" s="32" t="n">
        <v>2013</v>
      </c>
      <c r="F690" s="34" t="n">
        <v>550</v>
      </c>
      <c r="G690" s="35" t="n">
        <v>12</v>
      </c>
      <c r="H690" s="36" t="n">
        <v>2400</v>
      </c>
    </row>
    <row r="691" s="37" customFormat="true" ht="13.8" hidden="false" customHeight="false" outlineLevel="0" collapsed="false">
      <c r="A691" s="25" t="n">
        <v>787</v>
      </c>
      <c r="B691" s="32" t="s">
        <v>547</v>
      </c>
      <c r="C691" s="32" t="s">
        <v>25</v>
      </c>
      <c r="D691" s="33" t="s">
        <v>561</v>
      </c>
      <c r="E691" s="32" t="n">
        <v>2013</v>
      </c>
      <c r="F691" s="34" t="n">
        <v>16820</v>
      </c>
      <c r="G691" s="35" t="n">
        <v>1</v>
      </c>
      <c r="H691" s="36" t="n">
        <v>4800</v>
      </c>
    </row>
    <row r="692" s="37" customFormat="true" ht="13.8" hidden="false" customHeight="false" outlineLevel="0" collapsed="false">
      <c r="A692" s="31" t="n">
        <v>788</v>
      </c>
      <c r="B692" s="32" t="s">
        <v>547</v>
      </c>
      <c r="C692" s="32" t="s">
        <v>25</v>
      </c>
      <c r="D692" s="33" t="s">
        <v>562</v>
      </c>
      <c r="E692" s="32" t="n">
        <v>2013</v>
      </c>
      <c r="F692" s="34" t="n">
        <v>65024</v>
      </c>
      <c r="G692" s="35" t="n">
        <v>1</v>
      </c>
      <c r="H692" s="36" t="n">
        <v>18600</v>
      </c>
    </row>
    <row r="693" s="37" customFormat="true" ht="13.8" hidden="false" customHeight="false" outlineLevel="0" collapsed="false">
      <c r="A693" s="31" t="n">
        <v>790</v>
      </c>
      <c r="B693" s="32" t="s">
        <v>547</v>
      </c>
      <c r="C693" s="32" t="s">
        <v>25</v>
      </c>
      <c r="D693" s="33" t="s">
        <v>563</v>
      </c>
      <c r="E693" s="32" t="n">
        <v>2013</v>
      </c>
      <c r="F693" s="34" t="n">
        <f aca="false">2900*7.5</f>
        <v>21750</v>
      </c>
      <c r="G693" s="35" t="n">
        <v>1</v>
      </c>
      <c r="H693" s="36" t="n">
        <v>5000</v>
      </c>
    </row>
    <row r="694" s="37" customFormat="true" ht="13.8" hidden="false" customHeight="false" outlineLevel="0" collapsed="false">
      <c r="A694" s="25" t="n">
        <v>791</v>
      </c>
      <c r="B694" s="32" t="s">
        <v>547</v>
      </c>
      <c r="C694" s="32" t="s">
        <v>25</v>
      </c>
      <c r="D694" s="33" t="s">
        <v>564</v>
      </c>
      <c r="E694" s="32" t="n">
        <v>2013</v>
      </c>
      <c r="F694" s="34" t="n">
        <v>4500</v>
      </c>
      <c r="G694" s="35" t="n">
        <v>3</v>
      </c>
      <c r="H694" s="36" t="n">
        <v>3900</v>
      </c>
    </row>
    <row r="695" s="37" customFormat="true" ht="13.8" hidden="false" customHeight="false" outlineLevel="0" collapsed="false">
      <c r="A695" s="25" t="n">
        <v>793</v>
      </c>
      <c r="B695" s="32" t="s">
        <v>547</v>
      </c>
      <c r="C695" s="32" t="s">
        <v>25</v>
      </c>
      <c r="D695" s="33" t="s">
        <v>565</v>
      </c>
      <c r="E695" s="32" t="n">
        <v>2013</v>
      </c>
      <c r="F695" s="34" t="n">
        <f aca="false">3300*7.5</f>
        <v>24750</v>
      </c>
      <c r="G695" s="35" t="n">
        <v>3</v>
      </c>
      <c r="H695" s="36" t="n">
        <v>21300</v>
      </c>
    </row>
    <row r="696" s="37" customFormat="true" ht="13.8" hidden="false" customHeight="false" outlineLevel="0" collapsed="false">
      <c r="A696" s="31" t="n">
        <v>794</v>
      </c>
      <c r="B696" s="32" t="s">
        <v>547</v>
      </c>
      <c r="C696" s="32" t="s">
        <v>25</v>
      </c>
      <c r="D696" s="33" t="s">
        <v>566</v>
      </c>
      <c r="E696" s="32" t="n">
        <v>2013</v>
      </c>
      <c r="F696" s="34" t="n">
        <f aca="false">3850*7.5</f>
        <v>28875</v>
      </c>
      <c r="G696" s="35" t="n">
        <v>2</v>
      </c>
      <c r="H696" s="36" t="n">
        <v>16500</v>
      </c>
    </row>
    <row r="697" s="37" customFormat="true" ht="13.8" hidden="false" customHeight="false" outlineLevel="0" collapsed="false">
      <c r="A697" s="25" t="n">
        <v>795</v>
      </c>
      <c r="B697" s="32" t="s">
        <v>547</v>
      </c>
      <c r="C697" s="32" t="s">
        <v>25</v>
      </c>
      <c r="D697" s="33" t="s">
        <v>567</v>
      </c>
      <c r="E697" s="32" t="n">
        <v>1986</v>
      </c>
      <c r="F697" s="34" t="n">
        <f aca="false">11000</f>
        <v>11000</v>
      </c>
      <c r="G697" s="35" t="n">
        <v>1</v>
      </c>
      <c r="H697" s="36" t="n">
        <v>540</v>
      </c>
    </row>
    <row r="698" s="37" customFormat="true" ht="13.8" hidden="false" customHeight="false" outlineLevel="0" collapsed="false">
      <c r="A698" s="25" t="n">
        <v>797</v>
      </c>
      <c r="B698" s="32" t="s">
        <v>547</v>
      </c>
      <c r="C698" s="32" t="s">
        <v>25</v>
      </c>
      <c r="D698" s="33" t="s">
        <v>568</v>
      </c>
      <c r="E698" s="32" t="n">
        <v>1986</v>
      </c>
      <c r="F698" s="34" t="n">
        <v>375000</v>
      </c>
      <c r="G698" s="35" t="n">
        <v>1</v>
      </c>
      <c r="H698" s="36" t="n">
        <v>18300</v>
      </c>
    </row>
    <row r="699" s="37" customFormat="true" ht="13.8" hidden="false" customHeight="false" outlineLevel="0" collapsed="false">
      <c r="A699" s="31" t="n">
        <v>798</v>
      </c>
      <c r="B699" s="32" t="s">
        <v>547</v>
      </c>
      <c r="C699" s="32" t="s">
        <v>25</v>
      </c>
      <c r="D699" s="33" t="s">
        <v>127</v>
      </c>
      <c r="E699" s="32" t="n">
        <v>1986</v>
      </c>
      <c r="F699" s="34" t="n">
        <v>4680</v>
      </c>
      <c r="G699" s="35" t="n">
        <v>1</v>
      </c>
      <c r="H699" s="36" t="n">
        <v>200</v>
      </c>
    </row>
    <row r="700" s="37" customFormat="true" ht="13.8" hidden="false" customHeight="false" outlineLevel="0" collapsed="false">
      <c r="A700" s="25" t="n">
        <v>799</v>
      </c>
      <c r="B700" s="32" t="s">
        <v>547</v>
      </c>
      <c r="C700" s="32" t="s">
        <v>25</v>
      </c>
      <c r="D700" s="33" t="s">
        <v>128</v>
      </c>
      <c r="E700" s="32" t="n">
        <v>2013</v>
      </c>
      <c r="F700" s="34" t="n">
        <v>2050</v>
      </c>
      <c r="G700" s="35" t="n">
        <v>4</v>
      </c>
      <c r="H700" s="36" t="n">
        <v>840</v>
      </c>
    </row>
    <row r="701" s="37" customFormat="true" ht="13.8" hidden="false" customHeight="false" outlineLevel="0" collapsed="false">
      <c r="A701" s="31" t="n">
        <v>800</v>
      </c>
      <c r="B701" s="32" t="s">
        <v>547</v>
      </c>
      <c r="C701" s="32" t="s">
        <v>25</v>
      </c>
      <c r="D701" s="33" t="s">
        <v>569</v>
      </c>
      <c r="E701" s="32" t="n">
        <v>2013</v>
      </c>
      <c r="F701" s="34" t="n">
        <v>1960</v>
      </c>
      <c r="G701" s="35" t="n">
        <v>1</v>
      </c>
      <c r="H701" s="36" t="n">
        <v>200</v>
      </c>
    </row>
    <row r="702" s="37" customFormat="true" ht="13.8" hidden="false" customHeight="false" outlineLevel="0" collapsed="false">
      <c r="A702" s="31" t="n">
        <v>802</v>
      </c>
      <c r="B702" s="32" t="s">
        <v>570</v>
      </c>
      <c r="C702" s="32" t="s">
        <v>25</v>
      </c>
      <c r="D702" s="33" t="s">
        <v>571</v>
      </c>
      <c r="E702" s="32" t="n">
        <v>1986</v>
      </c>
      <c r="F702" s="34" t="n">
        <f aca="false">5750*7.5*1.25</f>
        <v>53906.25</v>
      </c>
      <c r="G702" s="35" t="n">
        <v>1</v>
      </c>
      <c r="H702" s="36" t="n">
        <v>2800</v>
      </c>
    </row>
    <row r="703" s="37" customFormat="true" ht="13.8" hidden="false" customHeight="false" outlineLevel="0" collapsed="false">
      <c r="A703" s="31" t="n">
        <v>804</v>
      </c>
      <c r="B703" s="32" t="s">
        <v>570</v>
      </c>
      <c r="C703" s="32" t="s">
        <v>25</v>
      </c>
      <c r="D703" s="33" t="s">
        <v>572</v>
      </c>
      <c r="E703" s="32" t="n">
        <v>1982</v>
      </c>
      <c r="F703" s="34" t="n">
        <f aca="false">7350*7.5*1.25</f>
        <v>68906.25</v>
      </c>
      <c r="G703" s="35" t="n">
        <v>1</v>
      </c>
      <c r="H703" s="36" t="n">
        <v>3300</v>
      </c>
    </row>
    <row r="704" s="37" customFormat="true" ht="13.8" hidden="false" customHeight="false" outlineLevel="0" collapsed="false">
      <c r="A704" s="25" t="n">
        <v>805</v>
      </c>
      <c r="B704" s="32" t="s">
        <v>570</v>
      </c>
      <c r="C704" s="32" t="s">
        <v>25</v>
      </c>
      <c r="D704" s="33" t="s">
        <v>573</v>
      </c>
      <c r="E704" s="32" t="n">
        <v>1982</v>
      </c>
      <c r="F704" s="34" t="n">
        <f aca="false">7250*7.5*1.25</f>
        <v>67968.75</v>
      </c>
      <c r="G704" s="35" t="n">
        <v>1</v>
      </c>
      <c r="H704" s="36" t="n">
        <v>3250</v>
      </c>
    </row>
    <row r="705" s="37" customFormat="true" ht="13.8" hidden="false" customHeight="false" outlineLevel="0" collapsed="false">
      <c r="A705" s="31" t="n">
        <v>806</v>
      </c>
      <c r="B705" s="32" t="s">
        <v>570</v>
      </c>
      <c r="C705" s="32" t="s">
        <v>25</v>
      </c>
      <c r="D705" s="33" t="s">
        <v>574</v>
      </c>
      <c r="E705" s="32" t="n">
        <v>1982</v>
      </c>
      <c r="F705" s="34" t="n">
        <f aca="false">7150*7.5*1.25</f>
        <v>67031.25</v>
      </c>
      <c r="G705" s="35" t="n">
        <v>1</v>
      </c>
      <c r="H705" s="36" t="n">
        <v>3200</v>
      </c>
    </row>
    <row r="706" s="37" customFormat="true" ht="13.8" hidden="false" customHeight="false" outlineLevel="0" collapsed="false">
      <c r="A706" s="25" t="n">
        <v>809</v>
      </c>
      <c r="B706" s="32" t="s">
        <v>570</v>
      </c>
      <c r="C706" s="32" t="s">
        <v>25</v>
      </c>
      <c r="D706" s="33" t="s">
        <v>575</v>
      </c>
      <c r="E706" s="32" t="n">
        <v>1981</v>
      </c>
      <c r="F706" s="34" t="n">
        <v>35000</v>
      </c>
      <c r="G706" s="35" t="n">
        <v>1</v>
      </c>
      <c r="H706" s="36" t="n">
        <v>1650</v>
      </c>
    </row>
    <row r="707" s="37" customFormat="true" ht="13.8" hidden="false" customHeight="false" outlineLevel="0" collapsed="false">
      <c r="A707" s="31" t="n">
        <v>810</v>
      </c>
      <c r="B707" s="32" t="s">
        <v>576</v>
      </c>
      <c r="C707" s="32" t="s">
        <v>25</v>
      </c>
      <c r="D707" s="33" t="s">
        <v>577</v>
      </c>
      <c r="E707" s="32" t="n">
        <v>1959</v>
      </c>
      <c r="F707" s="34" t="n">
        <f aca="false">34000*7.5*1.3</f>
        <v>331500</v>
      </c>
      <c r="G707" s="35" t="n">
        <v>1</v>
      </c>
      <c r="H707" s="36" t="n">
        <v>8250</v>
      </c>
    </row>
    <row r="708" s="37" customFormat="true" ht="13.8" hidden="false" customHeight="false" outlineLevel="0" collapsed="false">
      <c r="A708" s="25" t="n">
        <v>811</v>
      </c>
      <c r="B708" s="32" t="s">
        <v>576</v>
      </c>
      <c r="C708" s="32" t="s">
        <v>25</v>
      </c>
      <c r="D708" s="33" t="s">
        <v>578</v>
      </c>
      <c r="E708" s="32" t="n">
        <v>1959</v>
      </c>
      <c r="F708" s="34" t="n">
        <f aca="false">412000*1.3</f>
        <v>535600</v>
      </c>
      <c r="G708" s="35" t="n">
        <v>1</v>
      </c>
      <c r="H708" s="36" t="n">
        <v>13700</v>
      </c>
    </row>
    <row r="709" s="37" customFormat="true" ht="13.8" hidden="false" customHeight="false" outlineLevel="0" collapsed="false">
      <c r="A709" s="31" t="n">
        <v>812</v>
      </c>
      <c r="B709" s="32" t="s">
        <v>576</v>
      </c>
      <c r="C709" s="32" t="s">
        <v>25</v>
      </c>
      <c r="D709" s="33" t="s">
        <v>579</v>
      </c>
      <c r="E709" s="32" t="n">
        <v>1970</v>
      </c>
      <c r="F709" s="34" t="n">
        <f aca="false">1000000*1.25</f>
        <v>1250000</v>
      </c>
      <c r="G709" s="35" t="n">
        <v>1</v>
      </c>
      <c r="H709" s="36" t="n">
        <v>45200</v>
      </c>
    </row>
    <row r="710" s="37" customFormat="true" ht="13.8" hidden="false" customHeight="false" outlineLevel="0" collapsed="false">
      <c r="A710" s="25" t="n">
        <v>813</v>
      </c>
      <c r="B710" s="32" t="s">
        <v>580</v>
      </c>
      <c r="C710" s="32" t="s">
        <v>25</v>
      </c>
      <c r="D710" s="33" t="s">
        <v>581</v>
      </c>
      <c r="E710" s="32" t="n">
        <v>1960</v>
      </c>
      <c r="F710" s="34" t="n">
        <f aca="false">22000*7.5*1.3</f>
        <v>214500</v>
      </c>
      <c r="G710" s="35" t="n">
        <v>1</v>
      </c>
      <c r="H710" s="38" t="s">
        <v>160</v>
      </c>
    </row>
    <row r="711" s="37" customFormat="true" ht="13.8" hidden="false" customHeight="false" outlineLevel="0" collapsed="false">
      <c r="A711" s="31" t="n">
        <v>814</v>
      </c>
      <c r="B711" s="32" t="s">
        <v>580</v>
      </c>
      <c r="C711" s="32" t="s">
        <v>25</v>
      </c>
      <c r="D711" s="33" t="s">
        <v>582</v>
      </c>
      <c r="E711" s="32" t="n">
        <v>1960</v>
      </c>
      <c r="F711" s="34" t="n">
        <f aca="false">31000*7.5*1.3</f>
        <v>302250</v>
      </c>
      <c r="G711" s="35" t="n">
        <v>1</v>
      </c>
      <c r="H711" s="38" t="s">
        <v>160</v>
      </c>
    </row>
    <row r="712" s="37" customFormat="true" ht="13.8" hidden="false" customHeight="false" outlineLevel="0" collapsed="false">
      <c r="A712" s="25" t="n">
        <v>817</v>
      </c>
      <c r="B712" s="40" t="s">
        <v>17</v>
      </c>
      <c r="C712" s="32" t="str">
        <f aca="false">"0661082"</f>
        <v>0661082</v>
      </c>
      <c r="D712" s="33" t="s">
        <v>583</v>
      </c>
      <c r="E712" s="32" t="n">
        <v>2010</v>
      </c>
      <c r="F712" s="41" t="n">
        <v>527.85</v>
      </c>
      <c r="G712" s="42" t="n">
        <v>1</v>
      </c>
      <c r="H712" s="43" t="n">
        <v>50</v>
      </c>
    </row>
    <row r="713" s="37" customFormat="true" ht="13.8" hidden="false" customHeight="false" outlineLevel="0" collapsed="false">
      <c r="A713" s="31" t="n">
        <v>818</v>
      </c>
      <c r="B713" s="40" t="s">
        <v>17</v>
      </c>
      <c r="C713" s="32" t="str">
        <f aca="false">"0622699"</f>
        <v>0622699</v>
      </c>
      <c r="D713" s="33" t="s">
        <v>584</v>
      </c>
      <c r="E713" s="32" t="n">
        <v>2008</v>
      </c>
      <c r="F713" s="41" t="n">
        <v>880</v>
      </c>
      <c r="G713" s="42" t="n">
        <v>1</v>
      </c>
      <c r="H713" s="43" t="n">
        <v>70</v>
      </c>
    </row>
    <row r="714" s="37" customFormat="true" ht="13.8" hidden="false" customHeight="false" outlineLevel="0" collapsed="false">
      <c r="A714" s="25" t="n">
        <v>819</v>
      </c>
      <c r="B714" s="40" t="s">
        <v>17</v>
      </c>
      <c r="C714" s="44" t="str">
        <f aca="false">"0903540"</f>
        <v>0903540</v>
      </c>
      <c r="D714" s="45" t="s">
        <v>585</v>
      </c>
      <c r="E714" s="44" t="n">
        <v>2016</v>
      </c>
      <c r="F714" s="46" t="n">
        <v>1875</v>
      </c>
      <c r="G714" s="47" t="n">
        <v>2</v>
      </c>
      <c r="H714" s="43" t="n">
        <v>1580</v>
      </c>
    </row>
    <row r="715" s="37" customFormat="true" ht="2.25" hidden="false" customHeight="true" outlineLevel="0" collapsed="false">
      <c r="A715" s="48"/>
      <c r="B715" s="49"/>
      <c r="C715" s="49"/>
      <c r="D715" s="50"/>
      <c r="E715" s="49"/>
      <c r="F715" s="51"/>
      <c r="G715" s="52"/>
      <c r="H715" s="53"/>
    </row>
    <row r="716" s="37" customFormat="true" ht="5.25" hidden="false" customHeight="true" outlineLevel="0" collapsed="false">
      <c r="A716" s="54"/>
      <c r="B716" s="55"/>
      <c r="C716" s="56"/>
      <c r="D716" s="57"/>
      <c r="E716" s="58"/>
      <c r="F716" s="59"/>
      <c r="G716" s="60"/>
      <c r="H716" s="61"/>
    </row>
    <row r="717" s="37" customFormat="true" ht="15" hidden="false" customHeight="false" outlineLevel="0" collapsed="false">
      <c r="G717" s="62" t="s">
        <v>586</v>
      </c>
      <c r="H717" s="63" t="n">
        <f aca="false">SUM(H6:H716)</f>
        <v>6756135</v>
      </c>
    </row>
    <row r="718" s="37" customFormat="true" ht="13.8" hidden="false" customHeight="false" outlineLevel="0" collapsed="false">
      <c r="D718" s="64" t="s">
        <v>587</v>
      </c>
      <c r="E718" s="64"/>
      <c r="F718" s="65" t="n">
        <v>7.5</v>
      </c>
      <c r="G718" s="66" t="s">
        <v>588</v>
      </c>
      <c r="H718" s="67" t="n">
        <f aca="false">H717/F718</f>
        <v>900818</v>
      </c>
    </row>
    <row r="719" s="37" customFormat="true" ht="13.8" hidden="false" customHeight="false" outlineLevel="0" collapsed="false">
      <c r="B719" s="68" t="s">
        <v>589</v>
      </c>
    </row>
    <row r="720" s="37" customFormat="true" ht="3" hidden="false" customHeight="true" outlineLevel="0" collapsed="false">
      <c r="B720" s="68"/>
    </row>
    <row r="721" s="37" customFormat="true" ht="13.8" hidden="false" customHeight="false" outlineLevel="0" collapsed="false">
      <c r="B721" s="69" t="s">
        <v>590</v>
      </c>
    </row>
    <row r="722" customFormat="false" ht="13.8" hidden="false" customHeight="false" outlineLevel="0" collapsed="false">
      <c r="B722" s="70" t="s">
        <v>591</v>
      </c>
    </row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D718:E718"/>
  </mergeCells>
  <printOptions headings="false" gridLines="false" gridLinesSet="true" horizontalCentered="false" verticalCentered="false"/>
  <pageMargins left="0.629861111111111" right="0.196527777777778" top="0.905555555555556" bottom="0.432638888888889" header="0.275694444444444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&amp;C&amp;"Arial,Regular"PROCJENA VRIJEDNOSTI DIJELA POKRETNINA ● PROIZVODNA SREDSTVA
&amp;10ULJANIK 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2020-06-03T09:21:41Z</dcterms:created>
  <dc:creator>Vence</dc:creator>
  <dc:description/>
  <dc:language>hr-HR</dc:language>
  <cp:lastModifiedBy/>
  <dcterms:modified xsi:type="dcterms:W3CDTF">2020-09-16T23:43:57Z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